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enos\ROZPOČET\2022\"/>
    </mc:Choice>
  </mc:AlternateContent>
  <bookViews>
    <workbookView xWindow="0" yWindow="0" windowWidth="28800" windowHeight="12435" firstSheet="3" activeTab="6"/>
  </bookViews>
  <sheets>
    <sheet name="príjmová časť" sheetId="1" r:id="rId1"/>
    <sheet name="príjmy" sheetId="2" r:id="rId2"/>
    <sheet name="Program 1" sheetId="3" r:id="rId3"/>
    <sheet name="Program 2" sheetId="4" r:id="rId4"/>
    <sheet name="Program 3" sheetId="5" r:id="rId5"/>
    <sheet name="Program 4" sheetId="6" r:id="rId6"/>
    <sheet name="Program 5" sheetId="7" r:id="rId7"/>
    <sheet name="Program 6" sheetId="8" r:id="rId8"/>
    <sheet name="Program 7" sheetId="9" r:id="rId9"/>
    <sheet name="Program 8" sheetId="10" r:id="rId10"/>
    <sheet name="Program 9" sheetId="11" r:id="rId11"/>
    <sheet name="Program 10" sheetId="12" r:id="rId12"/>
    <sheet name="Bilancia" sheetId="13" r:id="rId13"/>
    <sheet name="výdavky" sheetId="15" r:id="rId14"/>
  </sheets>
  <externalReferences>
    <externalReference r:id="rId15"/>
  </externalReferences>
  <definedNames>
    <definedName name="Excel_BuiltIn_Print_Area_1">výdavky!$A$1:$AX$809</definedName>
    <definedName name="_xlnm.Print_Area" localSheetId="1">príjmy!$A$1:$R$292</definedName>
    <definedName name="_xlnm.Print_Area" localSheetId="13">výdavky!$A$1:$L$820</definedName>
  </definedNames>
  <calcPr calcId="152511"/>
</workbook>
</file>

<file path=xl/calcChain.xml><?xml version="1.0" encoding="utf-8"?>
<calcChain xmlns="http://schemas.openxmlformats.org/spreadsheetml/2006/main">
  <c r="N27" i="7" l="1"/>
  <c r="M27" i="7"/>
  <c r="L27" i="7"/>
  <c r="K27" i="7"/>
  <c r="J27" i="7"/>
  <c r="I27" i="7"/>
  <c r="H27" i="7"/>
  <c r="N10" i="7"/>
  <c r="M10" i="7"/>
  <c r="L10" i="7"/>
  <c r="K10" i="7"/>
  <c r="K42" i="7"/>
  <c r="J10" i="7"/>
  <c r="I10" i="7"/>
  <c r="H10" i="7"/>
  <c r="L11" i="7"/>
  <c r="K34" i="5"/>
  <c r="I34" i="5"/>
  <c r="C35" i="13" l="1"/>
  <c r="C34" i="13"/>
  <c r="F31" i="13"/>
  <c r="F30" i="13"/>
  <c r="E31" i="13"/>
  <c r="E30" i="13"/>
  <c r="D30" i="13"/>
  <c r="D31" i="13"/>
  <c r="C31" i="13"/>
  <c r="C30" i="13"/>
  <c r="I31" i="13"/>
  <c r="H31" i="13"/>
  <c r="H32" i="13"/>
  <c r="H30" i="13"/>
  <c r="G31" i="13"/>
  <c r="G30" i="13"/>
  <c r="L122" i="1" l="1"/>
  <c r="L121" i="1"/>
  <c r="D13" i="13"/>
  <c r="D14" i="13" s="1"/>
  <c r="I21" i="13"/>
  <c r="H21" i="13"/>
  <c r="G21" i="13"/>
  <c r="F21" i="13"/>
  <c r="E21" i="13"/>
  <c r="E14" i="13"/>
  <c r="D21" i="13"/>
  <c r="C14" i="13"/>
  <c r="C21" i="13"/>
  <c r="C13" i="13"/>
  <c r="I20" i="13"/>
  <c r="H20" i="13"/>
  <c r="G20" i="13"/>
  <c r="F20" i="13"/>
  <c r="E20" i="13"/>
  <c r="D20" i="13"/>
  <c r="C20" i="13"/>
  <c r="C17" i="13"/>
  <c r="L40" i="12"/>
  <c r="L39" i="12"/>
  <c r="L38" i="12"/>
  <c r="L29" i="12"/>
  <c r="L34" i="12"/>
  <c r="L33" i="12"/>
  <c r="L26" i="12"/>
  <c r="L25" i="12"/>
  <c r="L21" i="12"/>
  <c r="L20" i="12"/>
  <c r="L16" i="12"/>
  <c r="L15" i="12"/>
  <c r="L14" i="12"/>
  <c r="K33" i="12"/>
  <c r="K40" i="12"/>
  <c r="K39" i="12"/>
  <c r="K38" i="12"/>
  <c r="K34" i="12"/>
  <c r="K29" i="12"/>
  <c r="K26" i="12"/>
  <c r="K25" i="12"/>
  <c r="K20" i="12"/>
  <c r="K16" i="12"/>
  <c r="K15" i="12"/>
  <c r="K14" i="12"/>
  <c r="J40" i="12"/>
  <c r="J39" i="12"/>
  <c r="J38" i="12"/>
  <c r="J34" i="12"/>
  <c r="J33" i="12"/>
  <c r="J29" i="12"/>
  <c r="J26" i="12"/>
  <c r="J25" i="12"/>
  <c r="J21" i="12"/>
  <c r="J20" i="12"/>
  <c r="J16" i="12"/>
  <c r="J15" i="12"/>
  <c r="J14" i="12"/>
  <c r="I40" i="12"/>
  <c r="I39" i="12"/>
  <c r="I38" i="12"/>
  <c r="I34" i="12"/>
  <c r="I33" i="12"/>
  <c r="I29" i="12"/>
  <c r="I26" i="12"/>
  <c r="I25" i="12"/>
  <c r="I21" i="12"/>
  <c r="I20" i="12"/>
  <c r="I16" i="12"/>
  <c r="I15" i="12"/>
  <c r="I14" i="12"/>
  <c r="H40" i="12"/>
  <c r="H39" i="12"/>
  <c r="H38" i="12"/>
  <c r="H34" i="12"/>
  <c r="H33" i="12"/>
  <c r="H26" i="12"/>
  <c r="H25" i="12"/>
  <c r="H21" i="12"/>
  <c r="H20" i="12"/>
  <c r="H16" i="12"/>
  <c r="H15" i="12"/>
  <c r="H14" i="12"/>
  <c r="L35" i="11"/>
  <c r="N39" i="11"/>
  <c r="M39" i="11"/>
  <c r="L39" i="11"/>
  <c r="K39" i="11"/>
  <c r="N54" i="11"/>
  <c r="M54" i="11"/>
  <c r="L59" i="11"/>
  <c r="L27" i="11"/>
  <c r="J515" i="15"/>
  <c r="L28" i="11"/>
  <c r="L56" i="11"/>
  <c r="L55" i="11"/>
  <c r="L54" i="11"/>
  <c r="L53" i="11"/>
  <c r="L52" i="11"/>
  <c r="L51" i="11"/>
  <c r="L50" i="11"/>
  <c r="L49" i="11"/>
  <c r="L48" i="11"/>
  <c r="L47" i="11"/>
  <c r="L31" i="11"/>
  <c r="J472" i="15"/>
  <c r="J454" i="15"/>
  <c r="L38" i="11"/>
  <c r="L37" i="11"/>
  <c r="L36" i="11"/>
  <c r="L34" i="11"/>
  <c r="L33" i="11"/>
  <c r="L32" i="11"/>
  <c r="L14" i="11"/>
  <c r="J418" i="15"/>
  <c r="L17" i="11"/>
  <c r="L19" i="11"/>
  <c r="L18" i="11"/>
  <c r="L15" i="11"/>
  <c r="K55" i="11"/>
  <c r="F19" i="13"/>
  <c r="F18" i="13"/>
  <c r="K26" i="11"/>
  <c r="K54" i="11"/>
  <c r="K53" i="11"/>
  <c r="K52" i="11"/>
  <c r="K51" i="11"/>
  <c r="K50" i="11"/>
  <c r="K49" i="11"/>
  <c r="K48" i="11"/>
  <c r="K47" i="11"/>
  <c r="K29" i="11"/>
  <c r="I503" i="15"/>
  <c r="I515" i="15"/>
  <c r="I543" i="15"/>
  <c r="K28" i="11"/>
  <c r="K27" i="11"/>
  <c r="I454" i="15"/>
  <c r="K38" i="11"/>
  <c r="K37" i="11"/>
  <c r="K36" i="11"/>
  <c r="K34" i="11"/>
  <c r="K33" i="11"/>
  <c r="K32" i="11"/>
  <c r="K31" i="11"/>
  <c r="I412" i="15"/>
  <c r="K17" i="11"/>
  <c r="K15" i="11"/>
  <c r="I388" i="15"/>
  <c r="K14" i="11"/>
  <c r="K18" i="11"/>
  <c r="K16" i="11"/>
  <c r="J59" i="11"/>
  <c r="J54" i="11"/>
  <c r="J17" i="11"/>
  <c r="J15" i="11"/>
  <c r="G388" i="15"/>
  <c r="J14" i="11"/>
  <c r="J56" i="11"/>
  <c r="J55" i="11"/>
  <c r="J53" i="11"/>
  <c r="J52" i="11"/>
  <c r="J51" i="11"/>
  <c r="J50" i="11"/>
  <c r="J49" i="11"/>
  <c r="J48" i="11"/>
  <c r="J47" i="11"/>
  <c r="J38" i="11"/>
  <c r="J37" i="11"/>
  <c r="J36" i="11"/>
  <c r="J34" i="11"/>
  <c r="J33" i="11"/>
  <c r="J32" i="11"/>
  <c r="J31" i="11"/>
  <c r="J28" i="11"/>
  <c r="J27" i="11"/>
  <c r="N21" i="11"/>
  <c r="M21" i="11"/>
  <c r="L22" i="11"/>
  <c r="J21" i="11"/>
  <c r="K21" i="11"/>
  <c r="I21" i="11"/>
  <c r="H21" i="11"/>
  <c r="I28" i="11" l="1"/>
  <c r="F503" i="15"/>
  <c r="I27" i="11"/>
  <c r="I14" i="11"/>
  <c r="F565" i="15"/>
  <c r="F561" i="15" s="1"/>
  <c r="I55" i="11"/>
  <c r="I59" i="11"/>
  <c r="I56" i="11"/>
  <c r="I46" i="11" s="1"/>
  <c r="I54" i="11"/>
  <c r="I53" i="11"/>
  <c r="I52" i="11"/>
  <c r="I51" i="11"/>
  <c r="I50" i="11"/>
  <c r="I49" i="11"/>
  <c r="I48" i="11"/>
  <c r="I47" i="11"/>
  <c r="I35" i="11"/>
  <c r="I34" i="11"/>
  <c r="I33" i="11"/>
  <c r="I32" i="11"/>
  <c r="I31" i="11"/>
  <c r="I30" i="11"/>
  <c r="I15" i="11"/>
  <c r="H54" i="11"/>
  <c r="H59" i="11"/>
  <c r="H58" i="11" s="1"/>
  <c r="H57" i="11" s="1"/>
  <c r="K58" i="11"/>
  <c r="K57" i="11" s="1"/>
  <c r="J58" i="11"/>
  <c r="J57" i="11" s="1"/>
  <c r="I58" i="11"/>
  <c r="I57" i="11"/>
  <c r="H56" i="11"/>
  <c r="H55" i="11"/>
  <c r="H53" i="11"/>
  <c r="H52" i="11"/>
  <c r="H51" i="11"/>
  <c r="H50" i="11"/>
  <c r="H49" i="11"/>
  <c r="H48" i="11"/>
  <c r="H47" i="11"/>
  <c r="E454" i="15"/>
  <c r="H28" i="11"/>
  <c r="H27" i="11"/>
  <c r="L42" i="11"/>
  <c r="L41" i="11" s="1"/>
  <c r="L43" i="11"/>
  <c r="N22" i="11"/>
  <c r="M22" i="11"/>
  <c r="K22" i="11"/>
  <c r="J22" i="11"/>
  <c r="I22" i="11"/>
  <c r="M42" i="11"/>
  <c r="K42" i="11"/>
  <c r="J42" i="11"/>
  <c r="I42" i="11"/>
  <c r="H42" i="11"/>
  <c r="H38" i="11"/>
  <c r="H37" i="11"/>
  <c r="H36" i="11"/>
  <c r="H35" i="11"/>
  <c r="H34" i="11"/>
  <c r="H33" i="11"/>
  <c r="H32" i="11"/>
  <c r="H31" i="11"/>
  <c r="H30" i="11"/>
  <c r="H15" i="11"/>
  <c r="H14" i="11"/>
  <c r="H22" i="11"/>
  <c r="H19" i="11"/>
  <c r="H18" i="11"/>
  <c r="H17" i="11"/>
  <c r="M60" i="10"/>
  <c r="N60" i="10"/>
  <c r="L74" i="10"/>
  <c r="L73" i="10"/>
  <c r="L69" i="10"/>
  <c r="L61" i="10"/>
  <c r="L60" i="10"/>
  <c r="L59" i="10"/>
  <c r="L50" i="10"/>
  <c r="L46" i="10"/>
  <c r="L39" i="10"/>
  <c r="L38" i="10"/>
  <c r="L37" i="10"/>
  <c r="L36" i="10"/>
  <c r="L35" i="10"/>
  <c r="L34" i="10"/>
  <c r="L33" i="10"/>
  <c r="L32" i="10"/>
  <c r="L24" i="10"/>
  <c r="L23" i="10"/>
  <c r="L22" i="10"/>
  <c r="L18" i="10"/>
  <c r="L17" i="10"/>
  <c r="L16" i="10"/>
  <c r="L15" i="10"/>
  <c r="L14" i="10"/>
  <c r="K74" i="10"/>
  <c r="K73" i="10"/>
  <c r="K69" i="10"/>
  <c r="K61" i="10"/>
  <c r="K60" i="10"/>
  <c r="K59" i="10"/>
  <c r="K50" i="10"/>
  <c r="K46" i="10"/>
  <c r="K42" i="10"/>
  <c r="K39" i="10"/>
  <c r="K38" i="10"/>
  <c r="K37" i="10"/>
  <c r="K36" i="10"/>
  <c r="K35" i="10"/>
  <c r="K34" i="10"/>
  <c r="K33" i="10"/>
  <c r="K32" i="10"/>
  <c r="K24" i="10"/>
  <c r="K23" i="10"/>
  <c r="K22" i="10"/>
  <c r="K18" i="10"/>
  <c r="K17" i="10"/>
  <c r="K16" i="10"/>
  <c r="K15" i="10"/>
  <c r="K14" i="10"/>
  <c r="J36" i="10"/>
  <c r="J60" i="10"/>
  <c r="G333" i="15"/>
  <c r="G330" i="15"/>
  <c r="J35" i="10"/>
  <c r="J31" i="10"/>
  <c r="J74" i="10"/>
  <c r="J73" i="10"/>
  <c r="J69" i="10"/>
  <c r="J61" i="10"/>
  <c r="J59" i="10"/>
  <c r="J54" i="10"/>
  <c r="J50" i="10"/>
  <c r="J46" i="10"/>
  <c r="J42" i="10"/>
  <c r="J39" i="10"/>
  <c r="J38" i="10"/>
  <c r="J37" i="10"/>
  <c r="J34" i="10"/>
  <c r="J33" i="10"/>
  <c r="J32" i="10"/>
  <c r="J24" i="10"/>
  <c r="J23" i="10"/>
  <c r="J22" i="10"/>
  <c r="J18" i="10"/>
  <c r="J17" i="10"/>
  <c r="J16" i="10"/>
  <c r="J15" i="10"/>
  <c r="J14" i="10"/>
  <c r="I8" i="10"/>
  <c r="I28" i="10"/>
  <c r="L375" i="15"/>
  <c r="K375" i="15"/>
  <c r="J375" i="15"/>
  <c r="I375" i="15"/>
  <c r="H375" i="15"/>
  <c r="G375" i="15"/>
  <c r="F375" i="15"/>
  <c r="E375" i="15"/>
  <c r="H8" i="10"/>
  <c r="N55" i="10"/>
  <c r="N54" i="10"/>
  <c r="M55" i="10"/>
  <c r="M54" i="10"/>
  <c r="L55" i="10"/>
  <c r="L54" i="10"/>
  <c r="K55" i="10"/>
  <c r="K54" i="10"/>
  <c r="J55" i="10"/>
  <c r="I55" i="10"/>
  <c r="I53" i="10" s="1"/>
  <c r="I52" i="10" s="1"/>
  <c r="I51" i="10" s="1"/>
  <c r="I54" i="10"/>
  <c r="L368" i="15"/>
  <c r="K368" i="15"/>
  <c r="J368" i="15"/>
  <c r="I368" i="15"/>
  <c r="H368" i="15"/>
  <c r="G368" i="15"/>
  <c r="F368" i="15"/>
  <c r="H55" i="10"/>
  <c r="H54" i="10"/>
  <c r="H29" i="10"/>
  <c r="N53" i="10"/>
  <c r="N52" i="10" s="1"/>
  <c r="N51" i="10" s="1"/>
  <c r="N28" i="10" s="1"/>
  <c r="M53" i="10"/>
  <c r="M52" i="10" s="1"/>
  <c r="M51" i="10" s="1"/>
  <c r="M28" i="10" s="1"/>
  <c r="L53" i="10"/>
  <c r="L52" i="10" s="1"/>
  <c r="L51" i="10" s="1"/>
  <c r="K53" i="10"/>
  <c r="K52" i="10" s="1"/>
  <c r="K51" i="10" s="1"/>
  <c r="I74" i="10"/>
  <c r="I73" i="10"/>
  <c r="I69" i="10"/>
  <c r="I64" i="10"/>
  <c r="I61" i="10"/>
  <c r="I60" i="10"/>
  <c r="I59" i="10"/>
  <c r="I50" i="10"/>
  <c r="I46" i="10"/>
  <c r="I42" i="10"/>
  <c r="I39" i="10"/>
  <c r="I38" i="10"/>
  <c r="I37" i="10"/>
  <c r="I36" i="10"/>
  <c r="I35" i="10"/>
  <c r="I34" i="10"/>
  <c r="I33" i="10"/>
  <c r="I32" i="10"/>
  <c r="I27" i="10"/>
  <c r="I24" i="10"/>
  <c r="I23" i="10"/>
  <c r="I22" i="10"/>
  <c r="I18" i="10"/>
  <c r="I17" i="10"/>
  <c r="I16" i="10"/>
  <c r="I15" i="10"/>
  <c r="I14" i="10"/>
  <c r="J53" i="10" l="1"/>
  <c r="J52" i="10" s="1"/>
  <c r="J51" i="10" s="1"/>
  <c r="H53" i="10"/>
  <c r="H52" i="10" s="1"/>
  <c r="H51" i="10" s="1"/>
  <c r="H28" i="10" s="1"/>
  <c r="H74" i="10"/>
  <c r="H73" i="10"/>
  <c r="H69" i="10"/>
  <c r="H60" i="10"/>
  <c r="H61" i="10"/>
  <c r="H36" i="10"/>
  <c r="H59" i="10"/>
  <c r="H50" i="10"/>
  <c r="H46" i="10"/>
  <c r="H45" i="10" s="1"/>
  <c r="H37" i="10"/>
  <c r="E333" i="15"/>
  <c r="H39" i="10"/>
  <c r="H38" i="10"/>
  <c r="H35" i="10"/>
  <c r="H34" i="10"/>
  <c r="H33" i="10"/>
  <c r="H32" i="10"/>
  <c r="H24" i="10"/>
  <c r="N64" i="10"/>
  <c r="M64" i="10"/>
  <c r="L64" i="10"/>
  <c r="K64" i="10"/>
  <c r="J64" i="10"/>
  <c r="N42" i="10"/>
  <c r="M42" i="10"/>
  <c r="L42" i="10"/>
  <c r="N27" i="10"/>
  <c r="M27" i="10"/>
  <c r="L27" i="10"/>
  <c r="K27" i="10"/>
  <c r="J27" i="10"/>
  <c r="H27" i="10"/>
  <c r="H64" i="10"/>
  <c r="H42" i="10"/>
  <c r="H23" i="10"/>
  <c r="H22" i="10"/>
  <c r="H18" i="10"/>
  <c r="H17" i="10"/>
  <c r="H16" i="10"/>
  <c r="H15" i="10"/>
  <c r="H14" i="10"/>
  <c r="L17" i="9"/>
  <c r="L19" i="9"/>
  <c r="L18" i="9"/>
  <c r="L16" i="9"/>
  <c r="L15" i="9"/>
  <c r="L14" i="9"/>
  <c r="K19" i="9"/>
  <c r="K18" i="9"/>
  <c r="K17" i="9"/>
  <c r="K16" i="9"/>
  <c r="K15" i="9"/>
  <c r="K14" i="9"/>
  <c r="J19" i="9"/>
  <c r="J18" i="9"/>
  <c r="J17" i="9"/>
  <c r="J16" i="9"/>
  <c r="J15" i="9"/>
  <c r="J14" i="9"/>
  <c r="L23" i="9"/>
  <c r="K23" i="9"/>
  <c r="J23" i="9"/>
  <c r="I23" i="9"/>
  <c r="H23" i="9"/>
  <c r="I22" i="9"/>
  <c r="I19" i="9"/>
  <c r="I18" i="9"/>
  <c r="I17" i="9"/>
  <c r="I16" i="9"/>
  <c r="I15" i="9"/>
  <c r="I14" i="9"/>
  <c r="H19" i="9"/>
  <c r="H22" i="9"/>
  <c r="H18" i="9"/>
  <c r="H17" i="9"/>
  <c r="H16" i="9"/>
  <c r="H15" i="9"/>
  <c r="H14" i="9"/>
  <c r="L29" i="8"/>
  <c r="L28" i="8"/>
  <c r="L27" i="8"/>
  <c r="L26" i="8"/>
  <c r="L21" i="8"/>
  <c r="L20" i="8"/>
  <c r="L17" i="8"/>
  <c r="L16" i="8"/>
  <c r="L15" i="8"/>
  <c r="L14" i="8"/>
  <c r="K29" i="8"/>
  <c r="K28" i="8"/>
  <c r="K27" i="8"/>
  <c r="K26" i="8"/>
  <c r="K22" i="8"/>
  <c r="K21" i="8"/>
  <c r="K20" i="8"/>
  <c r="K17" i="8"/>
  <c r="K16" i="8"/>
  <c r="K15" i="8"/>
  <c r="K14" i="8"/>
  <c r="J29" i="8"/>
  <c r="J28" i="8"/>
  <c r="J27" i="8"/>
  <c r="J26" i="8"/>
  <c r="J21" i="8"/>
  <c r="J20" i="8"/>
  <c r="J17" i="8"/>
  <c r="J16" i="8"/>
  <c r="J15" i="8"/>
  <c r="J14" i="8"/>
  <c r="L32" i="8"/>
  <c r="I29" i="8"/>
  <c r="I28" i="8"/>
  <c r="I27" i="8"/>
  <c r="I26" i="8"/>
  <c r="I22" i="8"/>
  <c r="I21" i="8"/>
  <c r="I20" i="8"/>
  <c r="I17" i="8"/>
  <c r="I16" i="8"/>
  <c r="I15" i="8"/>
  <c r="I14" i="8"/>
  <c r="H29" i="8"/>
  <c r="H28" i="8"/>
  <c r="H27" i="8"/>
  <c r="H26" i="8"/>
  <c r="H22" i="8"/>
  <c r="H21" i="8"/>
  <c r="H20" i="8"/>
  <c r="H17" i="8"/>
  <c r="H16" i="8"/>
  <c r="H15" i="8"/>
  <c r="H14" i="8"/>
  <c r="G19" i="13"/>
  <c r="G18" i="13"/>
  <c r="E19" i="13"/>
  <c r="E18" i="13"/>
  <c r="D19" i="13"/>
  <c r="D18" i="13"/>
  <c r="C19" i="13"/>
  <c r="C18" i="13"/>
  <c r="G13" i="13"/>
  <c r="G10" i="13"/>
  <c r="F13" i="13"/>
  <c r="F12" i="13"/>
  <c r="F10" i="13"/>
  <c r="E13" i="13"/>
  <c r="E12" i="13"/>
  <c r="E11" i="13"/>
  <c r="E10" i="13"/>
  <c r="D12" i="13"/>
  <c r="D11" i="13"/>
  <c r="D10" i="13"/>
  <c r="C12" i="13"/>
  <c r="C11" i="13"/>
  <c r="C10" i="13"/>
  <c r="N51" i="7" l="1"/>
  <c r="N50" i="7"/>
  <c r="M51" i="7"/>
  <c r="M50" i="7"/>
  <c r="L51" i="7"/>
  <c r="L50" i="7"/>
  <c r="N41" i="7"/>
  <c r="N29" i="7" s="1"/>
  <c r="M41" i="7"/>
  <c r="M29" i="7"/>
  <c r="N36" i="7"/>
  <c r="M36" i="7"/>
  <c r="N26" i="7"/>
  <c r="N25" i="7"/>
  <c r="M26" i="7"/>
  <c r="M25" i="7"/>
  <c r="M18" i="7"/>
  <c r="M22" i="7"/>
  <c r="N46" i="7"/>
  <c r="N45" i="7"/>
  <c r="N44" i="7"/>
  <c r="M46" i="7"/>
  <c r="M45" i="7"/>
  <c r="M44" i="7"/>
  <c r="L46" i="7"/>
  <c r="L45" i="7"/>
  <c r="L44" i="7"/>
  <c r="K46" i="7"/>
  <c r="K45" i="7"/>
  <c r="K44" i="7"/>
  <c r="J46" i="7"/>
  <c r="J45" i="7"/>
  <c r="J44" i="7"/>
  <c r="J43" i="7" s="1"/>
  <c r="J42" i="7" s="1"/>
  <c r="I46" i="7"/>
  <c r="I43" i="7" s="1"/>
  <c r="I42" i="7" s="1"/>
  <c r="I45" i="7"/>
  <c r="I44" i="7"/>
  <c r="N43" i="7"/>
  <c r="N42" i="7" s="1"/>
  <c r="M43" i="7"/>
  <c r="M42" i="7" s="1"/>
  <c r="L43" i="7"/>
  <c r="L42" i="7" s="1"/>
  <c r="K43" i="7"/>
  <c r="H42" i="7"/>
  <c r="H43" i="7"/>
  <c r="H46" i="7"/>
  <c r="H45" i="7"/>
  <c r="H44" i="7"/>
  <c r="L41" i="7"/>
  <c r="L40" i="7"/>
  <c r="L39" i="7"/>
  <c r="L36" i="7"/>
  <c r="L35" i="7"/>
  <c r="L34" i="7"/>
  <c r="L33" i="7"/>
  <c r="L32" i="7"/>
  <c r="L31" i="7"/>
  <c r="L30" i="7"/>
  <c r="L26" i="7"/>
  <c r="L25" i="7"/>
  <c r="L22" i="7"/>
  <c r="L21" i="7"/>
  <c r="L20" i="7"/>
  <c r="L19" i="7"/>
  <c r="L18" i="7"/>
  <c r="L17" i="7"/>
  <c r="L16" i="7"/>
  <c r="L15" i="7"/>
  <c r="L14" i="7"/>
  <c r="K41" i="7"/>
  <c r="K40" i="7"/>
  <c r="K39" i="7"/>
  <c r="K35" i="7"/>
  <c r="K36" i="7"/>
  <c r="K34" i="7"/>
  <c r="K33" i="7"/>
  <c r="K32" i="7"/>
  <c r="K31" i="7"/>
  <c r="K30" i="7"/>
  <c r="K26" i="7"/>
  <c r="K25" i="7"/>
  <c r="K22" i="7"/>
  <c r="K21" i="7"/>
  <c r="K20" i="7"/>
  <c r="K19" i="7"/>
  <c r="K18" i="7"/>
  <c r="K17" i="7"/>
  <c r="K16" i="7"/>
  <c r="K15" i="7"/>
  <c r="K14" i="7"/>
  <c r="J51" i="7"/>
  <c r="J50" i="7"/>
  <c r="J41" i="7"/>
  <c r="J40" i="7"/>
  <c r="J39" i="7"/>
  <c r="J35" i="7"/>
  <c r="J36" i="7"/>
  <c r="J34" i="7"/>
  <c r="J33" i="7"/>
  <c r="J32" i="7"/>
  <c r="J31" i="7"/>
  <c r="J30" i="7"/>
  <c r="J25" i="7"/>
  <c r="J26" i="7"/>
  <c r="J22" i="7"/>
  <c r="J21" i="7"/>
  <c r="J20" i="7"/>
  <c r="J19" i="7"/>
  <c r="J18" i="7"/>
  <c r="J17" i="7"/>
  <c r="J16" i="7"/>
  <c r="J15" i="7"/>
  <c r="J14" i="7"/>
  <c r="I51" i="7"/>
  <c r="I50" i="7"/>
  <c r="F701" i="15"/>
  <c r="I41" i="7"/>
  <c r="I40" i="7"/>
  <c r="I39" i="7"/>
  <c r="I35" i="7"/>
  <c r="I36" i="7"/>
  <c r="I34" i="7"/>
  <c r="I33" i="7"/>
  <c r="I32" i="7"/>
  <c r="I31" i="7"/>
  <c r="I30" i="7"/>
  <c r="I26" i="7"/>
  <c r="I25" i="7"/>
  <c r="I22" i="7"/>
  <c r="I21" i="7"/>
  <c r="I20" i="7"/>
  <c r="I19" i="7"/>
  <c r="I18" i="7"/>
  <c r="I17" i="7"/>
  <c r="I16" i="7"/>
  <c r="I15" i="7"/>
  <c r="I14" i="7"/>
  <c r="H51" i="7"/>
  <c r="H40" i="7"/>
  <c r="H50" i="7"/>
  <c r="H41" i="7"/>
  <c r="H39" i="7"/>
  <c r="H35" i="7"/>
  <c r="H36" i="7"/>
  <c r="H34" i="7"/>
  <c r="H33" i="7"/>
  <c r="H32" i="7"/>
  <c r="H31" i="7"/>
  <c r="H30" i="7"/>
  <c r="H26" i="7"/>
  <c r="H25" i="7"/>
  <c r="E241" i="15"/>
  <c r="H22" i="7"/>
  <c r="H21" i="7"/>
  <c r="H20" i="7"/>
  <c r="H19" i="7"/>
  <c r="H18" i="7"/>
  <c r="H17" i="7"/>
  <c r="H16" i="7"/>
  <c r="H15" i="7"/>
  <c r="H14" i="7"/>
  <c r="N27" i="6"/>
  <c r="M27" i="6"/>
  <c r="L28" i="6"/>
  <c r="L27" i="6"/>
  <c r="L14" i="6"/>
  <c r="L13" i="6"/>
  <c r="J204" i="15"/>
  <c r="L24" i="6"/>
  <c r="L23" i="6"/>
  <c r="L48" i="6"/>
  <c r="L45" i="6"/>
  <c r="L44" i="6"/>
  <c r="L43" i="6"/>
  <c r="L42" i="6"/>
  <c r="L41" i="6"/>
  <c r="L40" i="6"/>
  <c r="L39" i="6"/>
  <c r="L38" i="6"/>
  <c r="L37" i="6"/>
  <c r="L31" i="6"/>
  <c r="L32" i="6"/>
  <c r="L33" i="6"/>
  <c r="L19" i="6"/>
  <c r="L18" i="6"/>
  <c r="L16" i="6"/>
  <c r="L15" i="6"/>
  <c r="L17" i="6"/>
  <c r="K27" i="6"/>
  <c r="K45" i="6"/>
  <c r="K44" i="6"/>
  <c r="K43" i="6"/>
  <c r="K42" i="6"/>
  <c r="K41" i="6"/>
  <c r="K40" i="6"/>
  <c r="K39" i="6"/>
  <c r="K38" i="6"/>
  <c r="K37" i="6"/>
  <c r="K32" i="6"/>
  <c r="K28" i="6"/>
  <c r="K24" i="6"/>
  <c r="K23" i="6"/>
  <c r="K19" i="6"/>
  <c r="K18" i="6"/>
  <c r="K17" i="6"/>
  <c r="K16" i="6"/>
  <c r="K15" i="6"/>
  <c r="K14" i="6"/>
  <c r="J48" i="6"/>
  <c r="J47" i="6" s="1"/>
  <c r="J45" i="6"/>
  <c r="J44" i="6"/>
  <c r="J43" i="6"/>
  <c r="J42" i="6"/>
  <c r="J41" i="6"/>
  <c r="J40" i="6"/>
  <c r="J39" i="6"/>
  <c r="J38" i="6"/>
  <c r="J37" i="6"/>
  <c r="J33" i="6"/>
  <c r="J32" i="6"/>
  <c r="J31" i="6"/>
  <c r="J28" i="6"/>
  <c r="J27" i="6"/>
  <c r="J24" i="6"/>
  <c r="J23" i="6"/>
  <c r="J19" i="6"/>
  <c r="J18" i="6"/>
  <c r="J17" i="6"/>
  <c r="J16" i="6"/>
  <c r="J15" i="6"/>
  <c r="J14" i="6"/>
  <c r="I27" i="6"/>
  <c r="I45" i="6"/>
  <c r="I44" i="6"/>
  <c r="I43" i="6"/>
  <c r="I42" i="6"/>
  <c r="I41" i="6"/>
  <c r="I40" i="6"/>
  <c r="I39" i="6"/>
  <c r="I38" i="6"/>
  <c r="I37" i="6"/>
  <c r="I33" i="6"/>
  <c r="I32" i="6"/>
  <c r="I28" i="6"/>
  <c r="I23" i="6"/>
  <c r="I19" i="6"/>
  <c r="I18" i="6"/>
  <c r="I17" i="6"/>
  <c r="I16" i="6"/>
  <c r="I15" i="6"/>
  <c r="I14" i="6"/>
  <c r="H24" i="6"/>
  <c r="H45" i="6"/>
  <c r="H44" i="6"/>
  <c r="H43" i="6"/>
  <c r="H42" i="6"/>
  <c r="H41" i="6"/>
  <c r="H40" i="6"/>
  <c r="H39" i="6"/>
  <c r="H38" i="6"/>
  <c r="H37" i="6"/>
  <c r="H33" i="6"/>
  <c r="H32" i="6"/>
  <c r="H28" i="6"/>
  <c r="H27" i="6"/>
  <c r="H23" i="6"/>
  <c r="H15" i="6"/>
  <c r="H19" i="6"/>
  <c r="H18" i="6"/>
  <c r="H17" i="6"/>
  <c r="H16" i="6"/>
  <c r="H14" i="6"/>
  <c r="K9" i="5"/>
  <c r="K42" i="5"/>
  <c r="K41" i="5"/>
  <c r="K40" i="5"/>
  <c r="K39" i="5"/>
  <c r="K38" i="5"/>
  <c r="K37" i="5"/>
  <c r="K33" i="5"/>
  <c r="K29" i="5"/>
  <c r="K23" i="5"/>
  <c r="K22" i="5"/>
  <c r="K21" i="5"/>
  <c r="K20" i="5"/>
  <c r="K19" i="5"/>
  <c r="K18" i="5"/>
  <c r="K17" i="5"/>
  <c r="K16" i="5"/>
  <c r="K15" i="5"/>
  <c r="K14" i="5"/>
  <c r="J42" i="5"/>
  <c r="J41" i="5"/>
  <c r="J40" i="5"/>
  <c r="J39" i="5"/>
  <c r="J38" i="5"/>
  <c r="J37" i="5"/>
  <c r="J33" i="5"/>
  <c r="H10" i="5"/>
  <c r="I10" i="5"/>
  <c r="J10" i="5"/>
  <c r="K10" i="5"/>
  <c r="L10" i="5"/>
  <c r="M10" i="5"/>
  <c r="N10" i="5"/>
  <c r="N24" i="5"/>
  <c r="M24" i="5"/>
  <c r="N9" i="5"/>
  <c r="M9" i="5"/>
  <c r="L9" i="5"/>
  <c r="H9" i="5"/>
  <c r="I9" i="5"/>
  <c r="N45" i="5"/>
  <c r="M45" i="5"/>
  <c r="L45" i="5"/>
  <c r="K45" i="5"/>
  <c r="J45" i="5"/>
  <c r="I45" i="5"/>
  <c r="H45" i="5"/>
  <c r="N44" i="5"/>
  <c r="N43" i="5" s="1"/>
  <c r="M44" i="5"/>
  <c r="M43" i="5" s="1"/>
  <c r="L44" i="5"/>
  <c r="L43" i="5" s="1"/>
  <c r="K44" i="5"/>
  <c r="K43" i="5" s="1"/>
  <c r="J44" i="5"/>
  <c r="J43" i="5" s="1"/>
  <c r="I44" i="5"/>
  <c r="I43" i="5" s="1"/>
  <c r="H44" i="5"/>
  <c r="H43" i="5" s="1"/>
  <c r="J29" i="5"/>
  <c r="J28" i="5" s="1"/>
  <c r="J27" i="5" s="1"/>
  <c r="J23" i="5"/>
  <c r="J22" i="5"/>
  <c r="J21" i="5"/>
  <c r="J20" i="5"/>
  <c r="J19" i="5"/>
  <c r="J18" i="5"/>
  <c r="J17" i="5"/>
  <c r="J16" i="5"/>
  <c r="J15" i="5"/>
  <c r="J14" i="5"/>
  <c r="I42" i="5"/>
  <c r="I41" i="5"/>
  <c r="I40" i="5"/>
  <c r="I39" i="5"/>
  <c r="I38" i="5"/>
  <c r="I37" i="5"/>
  <c r="I33" i="5"/>
  <c r="I29" i="5"/>
  <c r="I23" i="5"/>
  <c r="I22" i="5"/>
  <c r="I21" i="5"/>
  <c r="I20" i="5"/>
  <c r="I19" i="5"/>
  <c r="I18" i="5"/>
  <c r="I17" i="5"/>
  <c r="I16" i="5"/>
  <c r="I15" i="5"/>
  <c r="I14" i="5"/>
  <c r="H42" i="5"/>
  <c r="H41" i="5"/>
  <c r="H40" i="5"/>
  <c r="H39" i="5"/>
  <c r="H38" i="5"/>
  <c r="H37" i="5"/>
  <c r="H33" i="5"/>
  <c r="H29" i="5"/>
  <c r="N28" i="5"/>
  <c r="M28" i="5"/>
  <c r="L28" i="5"/>
  <c r="K28" i="5"/>
  <c r="K27" i="5" s="1"/>
  <c r="I28" i="5"/>
  <c r="H28" i="5"/>
  <c r="H27" i="5" s="1"/>
  <c r="N27" i="5"/>
  <c r="M27" i="5"/>
  <c r="L27" i="5"/>
  <c r="I27" i="5"/>
  <c r="H26" i="5"/>
  <c r="H23" i="5"/>
  <c r="H22" i="5"/>
  <c r="H21" i="5"/>
  <c r="H20" i="5"/>
  <c r="H19" i="5"/>
  <c r="H18" i="5"/>
  <c r="H17" i="5"/>
  <c r="H16" i="5"/>
  <c r="H15" i="5"/>
  <c r="H14" i="5"/>
  <c r="N17" i="4"/>
  <c r="N16" i="4"/>
  <c r="M17" i="4"/>
  <c r="M16" i="4"/>
  <c r="L17" i="4"/>
  <c r="L16" i="4"/>
  <c r="L15" i="4"/>
  <c r="L14" i="4"/>
  <c r="K17" i="4"/>
  <c r="K16" i="4"/>
  <c r="K15" i="4"/>
  <c r="K14" i="4"/>
  <c r="J17" i="4"/>
  <c r="J16" i="4"/>
  <c r="J15" i="4"/>
  <c r="J14" i="4"/>
  <c r="I17" i="4"/>
  <c r="I16" i="4"/>
  <c r="I15" i="4"/>
  <c r="H16" i="4"/>
  <c r="H17" i="4"/>
  <c r="I14" i="4"/>
  <c r="H15" i="4"/>
  <c r="H14" i="4"/>
  <c r="N26" i="3"/>
  <c r="M26" i="3"/>
  <c r="N52" i="3"/>
  <c r="M52" i="3"/>
  <c r="L782" i="15"/>
  <c r="K782" i="15"/>
  <c r="N53" i="3"/>
  <c r="M53" i="3"/>
  <c r="L52" i="3"/>
  <c r="K51" i="3"/>
  <c r="I782" i="15"/>
  <c r="L57" i="3"/>
  <c r="K57" i="3"/>
  <c r="L67" i="3"/>
  <c r="L62" i="3"/>
  <c r="L61" i="3"/>
  <c r="L60" i="3"/>
  <c r="L59" i="3"/>
  <c r="L58" i="3"/>
  <c r="L53" i="3"/>
  <c r="L51" i="3"/>
  <c r="L48" i="3"/>
  <c r="L46" i="3"/>
  <c r="L43" i="3"/>
  <c r="L39" i="3"/>
  <c r="L38" i="3"/>
  <c r="L34" i="3"/>
  <c r="L33" i="3"/>
  <c r="L32" i="3"/>
  <c r="L31" i="3"/>
  <c r="L30" i="3"/>
  <c r="L26" i="3"/>
  <c r="L23" i="3"/>
  <c r="L22" i="3"/>
  <c r="L21" i="3"/>
  <c r="L20" i="3"/>
  <c r="L19" i="3"/>
  <c r="L18" i="3"/>
  <c r="L17" i="3"/>
  <c r="L16" i="3"/>
  <c r="L15" i="3"/>
  <c r="K50" i="3"/>
  <c r="J50" i="3"/>
  <c r="K66" i="3"/>
  <c r="K62" i="3"/>
  <c r="K61" i="3"/>
  <c r="K60" i="3"/>
  <c r="K59" i="3"/>
  <c r="K58" i="3"/>
  <c r="K53" i="3"/>
  <c r="K52" i="3"/>
  <c r="K48" i="3"/>
  <c r="K46" i="3"/>
  <c r="K43" i="3"/>
  <c r="K39" i="3"/>
  <c r="K38" i="3"/>
  <c r="K34" i="3"/>
  <c r="K33" i="3"/>
  <c r="K32" i="3"/>
  <c r="K31" i="3"/>
  <c r="K30" i="3"/>
  <c r="K26" i="3"/>
  <c r="K23" i="3"/>
  <c r="K22" i="3"/>
  <c r="K21" i="3"/>
  <c r="K20" i="3"/>
  <c r="K19" i="3"/>
  <c r="K18" i="3"/>
  <c r="K17" i="3"/>
  <c r="K16" i="3"/>
  <c r="K15" i="3"/>
  <c r="J66" i="3"/>
  <c r="J62" i="3"/>
  <c r="J61" i="3"/>
  <c r="J60" i="3"/>
  <c r="J59" i="3"/>
  <c r="J58" i="3"/>
  <c r="J57" i="3"/>
  <c r="J53" i="3"/>
  <c r="J52" i="3"/>
  <c r="J51" i="3"/>
  <c r="J48" i="3"/>
  <c r="J46" i="3"/>
  <c r="J43" i="3"/>
  <c r="J38" i="3"/>
  <c r="J34" i="3"/>
  <c r="J33" i="3"/>
  <c r="J32" i="3"/>
  <c r="J31" i="3"/>
  <c r="J30" i="3"/>
  <c r="J26" i="3"/>
  <c r="J23" i="3"/>
  <c r="J22" i="3"/>
  <c r="J21" i="3"/>
  <c r="J20" i="3"/>
  <c r="J19" i="3"/>
  <c r="J18" i="3"/>
  <c r="J17" i="3"/>
  <c r="J16" i="3"/>
  <c r="J15" i="3"/>
  <c r="I57" i="3"/>
  <c r="I66" i="3"/>
  <c r="I62" i="3"/>
  <c r="I61" i="3"/>
  <c r="I60" i="3"/>
  <c r="I59" i="3"/>
  <c r="I58" i="3"/>
  <c r="I53" i="3"/>
  <c r="I52" i="3"/>
  <c r="I51" i="3"/>
  <c r="I48" i="3"/>
  <c r="I46" i="3"/>
  <c r="I45" i="3"/>
  <c r="I43" i="3"/>
  <c r="I39" i="3"/>
  <c r="I38" i="3"/>
  <c r="I34" i="3"/>
  <c r="I33" i="3"/>
  <c r="I32" i="3"/>
  <c r="I31" i="3"/>
  <c r="I30" i="3"/>
  <c r="I26" i="3"/>
  <c r="I23" i="3"/>
  <c r="I22" i="3"/>
  <c r="I21" i="3"/>
  <c r="I20" i="3"/>
  <c r="I19" i="3"/>
  <c r="I18" i="3"/>
  <c r="I17" i="3"/>
  <c r="I16" i="3"/>
  <c r="I15" i="3"/>
  <c r="H8" i="3"/>
  <c r="H57" i="3"/>
  <c r="H66" i="3"/>
  <c r="H62" i="3"/>
  <c r="H61" i="3"/>
  <c r="H60" i="3"/>
  <c r="H59" i="3"/>
  <c r="H58" i="3"/>
  <c r="H53" i="3"/>
  <c r="H51" i="3"/>
  <c r="H52" i="3"/>
  <c r="H48" i="3"/>
  <c r="H46" i="3"/>
  <c r="H45" i="3"/>
  <c r="H43" i="3"/>
  <c r="H39" i="3"/>
  <c r="H38" i="3"/>
  <c r="H34" i="3"/>
  <c r="H33" i="3"/>
  <c r="H32" i="3"/>
  <c r="H31" i="3"/>
  <c r="H30" i="3"/>
  <c r="H23" i="3"/>
  <c r="H22" i="3"/>
  <c r="H21" i="3"/>
  <c r="H20" i="3"/>
  <c r="H19" i="3"/>
  <c r="H18" i="3"/>
  <c r="H17" i="3"/>
  <c r="H16" i="3"/>
  <c r="H15" i="3"/>
  <c r="H26" i="3"/>
  <c r="O27" i="1"/>
  <c r="N27" i="1"/>
  <c r="M27" i="1"/>
  <c r="L27" i="1"/>
  <c r="O46" i="1"/>
  <c r="N46" i="1"/>
  <c r="M46" i="1"/>
  <c r="L46" i="1"/>
  <c r="H38" i="7" l="1"/>
  <c r="H37" i="7" s="1"/>
  <c r="K29" i="7"/>
  <c r="I29" i="7"/>
  <c r="M40" i="1"/>
  <c r="L40" i="1"/>
  <c r="J744" i="15" l="1"/>
  <c r="R46" i="2" l="1"/>
  <c r="Q46" i="2"/>
  <c r="I156" i="1"/>
  <c r="I155" i="1"/>
  <c r="I154" i="1"/>
  <c r="J156" i="1"/>
  <c r="J155" i="1"/>
  <c r="J154" i="1"/>
  <c r="K156" i="1"/>
  <c r="K155" i="1"/>
  <c r="K154" i="1"/>
  <c r="L156" i="1"/>
  <c r="L155" i="1"/>
  <c r="L154" i="1"/>
  <c r="M156" i="1"/>
  <c r="M155" i="1"/>
  <c r="M154" i="1"/>
  <c r="I149" i="1"/>
  <c r="I148" i="1"/>
  <c r="I147" i="1"/>
  <c r="I146" i="1"/>
  <c r="I144" i="1"/>
  <c r="I145" i="1"/>
  <c r="I143" i="1"/>
  <c r="I142" i="1"/>
  <c r="I141" i="1"/>
  <c r="I140" i="1"/>
  <c r="I139" i="1"/>
  <c r="I138" i="1"/>
  <c r="I137" i="1"/>
  <c r="I136" i="1"/>
  <c r="I135" i="1"/>
  <c r="I134" i="1"/>
  <c r="J144" i="1"/>
  <c r="J145" i="1"/>
  <c r="J146" i="1"/>
  <c r="L191" i="2"/>
  <c r="J149" i="1"/>
  <c r="J148" i="1"/>
  <c r="J147" i="1"/>
  <c r="J143" i="1"/>
  <c r="J142" i="1"/>
  <c r="J141" i="1"/>
  <c r="J140" i="1"/>
  <c r="J139" i="1"/>
  <c r="J138" i="1"/>
  <c r="J137" i="1"/>
  <c r="J136" i="1"/>
  <c r="J135" i="1"/>
  <c r="J134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L145" i="1"/>
  <c r="L134" i="1"/>
  <c r="L135" i="1"/>
  <c r="L136" i="1"/>
  <c r="L137" i="1"/>
  <c r="L138" i="1"/>
  <c r="L139" i="1"/>
  <c r="L140" i="1"/>
  <c r="L141" i="1"/>
  <c r="L142" i="1"/>
  <c r="L143" i="1"/>
  <c r="L144" i="1"/>
  <c r="L146" i="1"/>
  <c r="L147" i="1"/>
  <c r="L148" i="1"/>
  <c r="L149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O149" i="1"/>
  <c r="O148" i="1"/>
  <c r="O147" i="1"/>
  <c r="O146" i="1"/>
  <c r="O145" i="1"/>
  <c r="O134" i="1"/>
  <c r="O143" i="1"/>
  <c r="O142" i="1"/>
  <c r="O141" i="1"/>
  <c r="O140" i="1"/>
  <c r="O139" i="1"/>
  <c r="O138" i="1"/>
  <c r="O137" i="1"/>
  <c r="O136" i="1"/>
  <c r="O135" i="1"/>
  <c r="I125" i="1"/>
  <c r="I126" i="1"/>
  <c r="I124" i="1"/>
  <c r="I121" i="1"/>
  <c r="I120" i="1"/>
  <c r="I119" i="1"/>
  <c r="I118" i="1"/>
  <c r="I117" i="1"/>
  <c r="I113" i="1"/>
  <c r="I112" i="1"/>
  <c r="J123" i="1"/>
  <c r="J117" i="1"/>
  <c r="J126" i="1"/>
  <c r="J124" i="1"/>
  <c r="J121" i="1"/>
  <c r="J120" i="1"/>
  <c r="J119" i="1"/>
  <c r="J118" i="1"/>
  <c r="J113" i="1"/>
  <c r="J112" i="1"/>
  <c r="K126" i="1"/>
  <c r="K124" i="1"/>
  <c r="K121" i="1"/>
  <c r="K120" i="1"/>
  <c r="K119" i="1"/>
  <c r="K118" i="1"/>
  <c r="K117" i="1"/>
  <c r="K113" i="1"/>
  <c r="K112" i="1"/>
  <c r="L120" i="1"/>
  <c r="L126" i="1"/>
  <c r="L124" i="1"/>
  <c r="L119" i="1"/>
  <c r="L118" i="1"/>
  <c r="L117" i="1"/>
  <c r="L112" i="1"/>
  <c r="L113" i="1"/>
  <c r="M121" i="1"/>
  <c r="M126" i="1"/>
  <c r="M119" i="1"/>
  <c r="M124" i="1"/>
  <c r="M120" i="1"/>
  <c r="M118" i="1"/>
  <c r="M117" i="1"/>
  <c r="M113" i="1"/>
  <c r="M112" i="1"/>
  <c r="I84" i="1"/>
  <c r="I76" i="1"/>
  <c r="I95" i="1"/>
  <c r="I94" i="1"/>
  <c r="I92" i="1"/>
  <c r="I90" i="1"/>
  <c r="I88" i="1"/>
  <c r="I87" i="1"/>
  <c r="I86" i="1"/>
  <c r="I85" i="1"/>
  <c r="I83" i="1"/>
  <c r="I82" i="1"/>
  <c r="I81" i="1"/>
  <c r="I80" i="1"/>
  <c r="I79" i="1"/>
  <c r="I78" i="1"/>
  <c r="I77" i="1"/>
  <c r="I75" i="1"/>
  <c r="I74" i="1"/>
  <c r="I73" i="1"/>
  <c r="I72" i="1"/>
  <c r="I71" i="1"/>
  <c r="J92" i="1"/>
  <c r="L83" i="1"/>
  <c r="J76" i="1"/>
  <c r="L81" i="2"/>
  <c r="J95" i="1"/>
  <c r="J94" i="1"/>
  <c r="J91" i="1"/>
  <c r="J90" i="1"/>
  <c r="J88" i="1"/>
  <c r="J87" i="1"/>
  <c r="J86" i="1"/>
  <c r="J85" i="1"/>
  <c r="J84" i="1"/>
  <c r="J83" i="1"/>
  <c r="J82" i="1"/>
  <c r="J81" i="1"/>
  <c r="J80" i="1"/>
  <c r="J79" i="1"/>
  <c r="J78" i="1"/>
  <c r="J77" i="1"/>
  <c r="J75" i="1"/>
  <c r="J74" i="1"/>
  <c r="J73" i="1"/>
  <c r="J72" i="1"/>
  <c r="J71" i="1"/>
  <c r="K84" i="1"/>
  <c r="K95" i="1"/>
  <c r="K94" i="1"/>
  <c r="K92" i="1"/>
  <c r="K91" i="1"/>
  <c r="K90" i="1"/>
  <c r="K89" i="1"/>
  <c r="K88" i="1"/>
  <c r="K87" i="1"/>
  <c r="K86" i="1"/>
  <c r="K85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L88" i="1"/>
  <c r="L95" i="1"/>
  <c r="L91" i="1"/>
  <c r="L94" i="1"/>
  <c r="L92" i="1"/>
  <c r="L90" i="1"/>
  <c r="L89" i="1"/>
  <c r="L87" i="1"/>
  <c r="L86" i="1"/>
  <c r="L85" i="1"/>
  <c r="L84" i="1"/>
  <c r="L82" i="1"/>
  <c r="L81" i="1"/>
  <c r="L80" i="1"/>
  <c r="L79" i="1"/>
  <c r="L78" i="1"/>
  <c r="L77" i="1"/>
  <c r="L76" i="1"/>
  <c r="L75" i="1"/>
  <c r="L74" i="1"/>
  <c r="L73" i="1"/>
  <c r="L72" i="1"/>
  <c r="L71" i="1"/>
  <c r="M95" i="1"/>
  <c r="M94" i="1"/>
  <c r="M92" i="1"/>
  <c r="M91" i="1"/>
  <c r="M90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O78" i="1"/>
  <c r="I54" i="1"/>
  <c r="I52" i="1"/>
  <c r="I50" i="1"/>
  <c r="I48" i="1"/>
  <c r="I44" i="1"/>
  <c r="I42" i="1"/>
  <c r="I40" i="1"/>
  <c r="I38" i="1"/>
  <c r="I36" i="1"/>
  <c r="I34" i="1"/>
  <c r="I32" i="1"/>
  <c r="I30" i="1"/>
  <c r="J54" i="1"/>
  <c r="J52" i="1"/>
  <c r="J50" i="1"/>
  <c r="J48" i="1"/>
  <c r="J44" i="1"/>
  <c r="J42" i="1"/>
  <c r="J40" i="1"/>
  <c r="J38" i="1"/>
  <c r="J36" i="1"/>
  <c r="J34" i="1"/>
  <c r="J32" i="1"/>
  <c r="J30" i="1"/>
  <c r="K54" i="1"/>
  <c r="K52" i="1"/>
  <c r="K50" i="1"/>
  <c r="K48" i="1"/>
  <c r="K44" i="1"/>
  <c r="K42" i="1"/>
  <c r="K40" i="1"/>
  <c r="K38" i="1"/>
  <c r="K36" i="1"/>
  <c r="K34" i="1"/>
  <c r="K32" i="1"/>
  <c r="K30" i="1"/>
  <c r="L54" i="1"/>
  <c r="L52" i="1"/>
  <c r="L50" i="1"/>
  <c r="L48" i="1"/>
  <c r="L44" i="1"/>
  <c r="L42" i="1"/>
  <c r="L38" i="1"/>
  <c r="L36" i="1"/>
  <c r="L34" i="1"/>
  <c r="L32" i="1"/>
  <c r="L30" i="1"/>
  <c r="M54" i="1"/>
  <c r="M52" i="1"/>
  <c r="M50" i="1"/>
  <c r="M48" i="1"/>
  <c r="M44" i="1"/>
  <c r="M42" i="1"/>
  <c r="M38" i="1"/>
  <c r="M36" i="1"/>
  <c r="M34" i="1"/>
  <c r="M32" i="1"/>
  <c r="M30" i="1"/>
  <c r="I12" i="1"/>
  <c r="I20" i="1"/>
  <c r="I18" i="1"/>
  <c r="I16" i="1"/>
  <c r="I14" i="1"/>
  <c r="I10" i="1"/>
  <c r="I8" i="1"/>
  <c r="J14" i="1"/>
  <c r="J20" i="1"/>
  <c r="J18" i="1"/>
  <c r="J16" i="1"/>
  <c r="J12" i="1"/>
  <c r="J10" i="1"/>
  <c r="J8" i="1"/>
  <c r="K10" i="1"/>
  <c r="K20" i="1"/>
  <c r="K14" i="1"/>
  <c r="K18" i="1"/>
  <c r="K16" i="1"/>
  <c r="K12" i="1"/>
  <c r="K8" i="1"/>
  <c r="L20" i="1"/>
  <c r="L18" i="1"/>
  <c r="L16" i="1"/>
  <c r="L14" i="1"/>
  <c r="L12" i="1"/>
  <c r="L10" i="1"/>
  <c r="L8" i="1"/>
  <c r="M20" i="1"/>
  <c r="M18" i="1"/>
  <c r="M16" i="1"/>
  <c r="M14" i="1"/>
  <c r="M12" i="1"/>
  <c r="M10" i="1"/>
  <c r="P23" i="2"/>
  <c r="P16" i="2"/>
  <c r="M8" i="1"/>
  <c r="K132" i="1" l="1"/>
  <c r="J132" i="1"/>
  <c r="I115" i="1"/>
  <c r="L69" i="1"/>
  <c r="J390" i="15"/>
  <c r="I149" i="15" l="1"/>
  <c r="O252" i="2" l="1"/>
  <c r="F454" i="15" l="1"/>
  <c r="F782" i="15"/>
  <c r="F735" i="15"/>
  <c r="E782" i="15"/>
  <c r="E735" i="15"/>
  <c r="J693" i="15"/>
  <c r="E468" i="15"/>
  <c r="K191" i="2"/>
  <c r="K252" i="2"/>
  <c r="L252" i="2"/>
  <c r="K81" i="2"/>
  <c r="K117" i="2"/>
  <c r="L201" i="2" l="1"/>
  <c r="L154" i="2"/>
  <c r="L61" i="2"/>
  <c r="F156" i="15" l="1"/>
  <c r="F149" i="15"/>
  <c r="F147" i="15"/>
  <c r="F114" i="15"/>
  <c r="F119" i="15"/>
  <c r="F95" i="15"/>
  <c r="F760" i="15"/>
  <c r="F726" i="15"/>
  <c r="F686" i="15"/>
  <c r="E701" i="15"/>
  <c r="E686" i="15"/>
  <c r="E368" i="15" l="1"/>
  <c r="E297" i="15" l="1"/>
  <c r="E234" i="15"/>
  <c r="E204" i="15"/>
  <c r="E195" i="15"/>
  <c r="E156" i="15"/>
  <c r="E80" i="15"/>
  <c r="K23" i="2"/>
  <c r="K16" i="2"/>
  <c r="O213" i="2" l="1"/>
  <c r="I672" i="15"/>
  <c r="J89" i="15"/>
  <c r="I89" i="15"/>
  <c r="I49" i="15"/>
  <c r="O236" i="2"/>
  <c r="J330" i="15" l="1"/>
  <c r="K330" i="15"/>
  <c r="L330" i="15"/>
  <c r="L333" i="15"/>
  <c r="K333" i="15"/>
  <c r="J333" i="15"/>
  <c r="I333" i="15"/>
  <c r="I330" i="15" s="1"/>
  <c r="L252" i="15"/>
  <c r="K252" i="15"/>
  <c r="J252" i="15"/>
  <c r="J258" i="15"/>
  <c r="K258" i="15"/>
  <c r="L258" i="15"/>
  <c r="J503" i="15"/>
  <c r="L543" i="15"/>
  <c r="K543" i="15"/>
  <c r="I439" i="15"/>
  <c r="L666" i="15" l="1"/>
  <c r="K666" i="15"/>
  <c r="I666" i="15"/>
  <c r="I751" i="15"/>
  <c r="I565" i="15"/>
  <c r="I530" i="15"/>
  <c r="I528" i="15"/>
  <c r="I482" i="15"/>
  <c r="I468" i="15"/>
  <c r="I466" i="15"/>
  <c r="J439" i="15"/>
  <c r="J412" i="15"/>
  <c r="I297" i="15"/>
  <c r="I258" i="15"/>
  <c r="I241" i="15"/>
  <c r="I195" i="15"/>
  <c r="I189" i="15"/>
  <c r="I156" i="15"/>
  <c r="I138" i="15"/>
  <c r="I130" i="15"/>
  <c r="J114" i="15"/>
  <c r="J119" i="15" s="1"/>
  <c r="I66" i="15"/>
  <c r="H593" i="15"/>
  <c r="H258" i="15"/>
  <c r="H195" i="15"/>
  <c r="H189" i="15"/>
  <c r="H114" i="15"/>
  <c r="I114" i="15"/>
  <c r="I119" i="15" s="1"/>
  <c r="H156" i="15"/>
  <c r="H149" i="15"/>
  <c r="H49" i="15"/>
  <c r="H66" i="15"/>
  <c r="O138" i="2"/>
  <c r="N252" i="2"/>
  <c r="N201" i="2"/>
  <c r="N61" i="2"/>
  <c r="N46" i="2"/>
  <c r="O46" i="2"/>
  <c r="M236" i="2"/>
  <c r="N236" i="2"/>
  <c r="M213" i="2"/>
  <c r="N213" i="2"/>
  <c r="G718" i="15"/>
  <c r="H565" i="15"/>
  <c r="G504" i="15"/>
  <c r="H504" i="15"/>
  <c r="G530" i="15"/>
  <c r="G528" i="15"/>
  <c r="G355" i="15"/>
  <c r="G324" i="15"/>
  <c r="G258" i="15"/>
  <c r="G241" i="15"/>
  <c r="G195" i="15"/>
  <c r="G189" i="15"/>
  <c r="G156" i="15"/>
  <c r="G149" i="15"/>
  <c r="G138" i="15"/>
  <c r="G130" i="15"/>
  <c r="G95" i="15"/>
  <c r="G37" i="15"/>
  <c r="F37" i="15"/>
  <c r="J482" i="15" l="1"/>
  <c r="J517" i="15"/>
  <c r="J543" i="15"/>
  <c r="J534" i="15"/>
  <c r="J666" i="15"/>
  <c r="J49" i="15"/>
  <c r="J37" i="15"/>
  <c r="J30" i="15"/>
  <c r="J17" i="15"/>
  <c r="P138" i="2" l="1"/>
  <c r="J504" i="15"/>
  <c r="P236" i="2"/>
  <c r="P213" i="2"/>
  <c r="P252" i="2" l="1"/>
  <c r="J751" i="15" l="1"/>
  <c r="J672" i="15"/>
  <c r="J297" i="15"/>
  <c r="J308" i="15" s="1"/>
  <c r="J782" i="15"/>
  <c r="J803" i="15" s="1"/>
  <c r="J753" i="15"/>
  <c r="J735" i="15"/>
  <c r="J726" i="15"/>
  <c r="J718" i="15" s="1"/>
  <c r="J715" i="15"/>
  <c r="J706" i="15"/>
  <c r="J701" i="15"/>
  <c r="J690" i="15"/>
  <c r="J684" i="15"/>
  <c r="J679" i="15"/>
  <c r="J615" i="15"/>
  <c r="J598" i="15"/>
  <c r="J593" i="15"/>
  <c r="J586" i="15"/>
  <c r="J575" i="15"/>
  <c r="J565" i="15"/>
  <c r="J561" i="15" s="1"/>
  <c r="J530" i="15"/>
  <c r="J528" i="15"/>
  <c r="J468" i="15"/>
  <c r="J466" i="15"/>
  <c r="J456" i="15"/>
  <c r="J432" i="15"/>
  <c r="J428" i="15"/>
  <c r="J422" i="15"/>
  <c r="J404" i="15"/>
  <c r="J400" i="15"/>
  <c r="J371" i="15"/>
  <c r="J366" i="15"/>
  <c r="J365" i="15" s="1"/>
  <c r="J355" i="15"/>
  <c r="J354" i="15"/>
  <c r="J324" i="15"/>
  <c r="J317" i="15"/>
  <c r="J285" i="15"/>
  <c r="J279" i="15"/>
  <c r="J268" i="15"/>
  <c r="J271" i="15"/>
  <c r="J241" i="15"/>
  <c r="J234" i="15"/>
  <c r="J219" i="15"/>
  <c r="J215" i="15"/>
  <c r="J195" i="15"/>
  <c r="J189" i="15"/>
  <c r="J184" i="15" s="1"/>
  <c r="J156" i="15"/>
  <c r="J147" i="15"/>
  <c r="J138" i="15"/>
  <c r="J125" i="15" s="1"/>
  <c r="J165" i="15" s="1"/>
  <c r="J130" i="15"/>
  <c r="J95" i="15"/>
  <c r="J80" i="15"/>
  <c r="J77" i="15"/>
  <c r="J70" i="15"/>
  <c r="J66" i="15"/>
  <c r="J41" i="15"/>
  <c r="J13" i="15" s="1"/>
  <c r="J7" i="15" s="1"/>
  <c r="O117" i="1"/>
  <c r="N154" i="2"/>
  <c r="J154" i="2"/>
  <c r="P154" i="2"/>
  <c r="O154" i="2"/>
  <c r="O155" i="2" s="1"/>
  <c r="P268" i="2"/>
  <c r="P284" i="2" s="1"/>
  <c r="P201" i="2"/>
  <c r="P191" i="2"/>
  <c r="P132" i="2"/>
  <c r="P113" i="2"/>
  <c r="P81" i="2"/>
  <c r="P61" i="2"/>
  <c r="P69" i="2" s="1"/>
  <c r="P46" i="2"/>
  <c r="P38" i="2"/>
  <c r="P9" i="2"/>
  <c r="I803" i="15"/>
  <c r="I593" i="15"/>
  <c r="O201" i="2"/>
  <c r="O61" i="2"/>
  <c r="I77" i="15"/>
  <c r="I753" i="15"/>
  <c r="I744" i="15"/>
  <c r="I735" i="15"/>
  <c r="I726" i="15"/>
  <c r="I718" i="15"/>
  <c r="I715" i="15"/>
  <c r="I706" i="15"/>
  <c r="I701" i="15"/>
  <c r="I693" i="15"/>
  <c r="I690" i="15"/>
  <c r="I684" i="15"/>
  <c r="I679" i="15"/>
  <c r="I615" i="15"/>
  <c r="I598" i="15"/>
  <c r="I586" i="15"/>
  <c r="I575" i="15"/>
  <c r="I561" i="15"/>
  <c r="I534" i="15"/>
  <c r="I517" i="15"/>
  <c r="I504" i="15"/>
  <c r="I472" i="15"/>
  <c r="I438" i="15" s="1"/>
  <c r="I456" i="15"/>
  <c r="I432" i="15"/>
  <c r="I428" i="15"/>
  <c r="I422" i="15"/>
  <c r="I404" i="15"/>
  <c r="I400" i="15"/>
  <c r="I390" i="15"/>
  <c r="I371" i="15"/>
  <c r="I366" i="15"/>
  <c r="I365" i="15"/>
  <c r="I355" i="15"/>
  <c r="I354" i="15"/>
  <c r="I324" i="15"/>
  <c r="I317" i="15"/>
  <c r="I308" i="15"/>
  <c r="I285" i="15"/>
  <c r="I279" i="15"/>
  <c r="I290" i="15"/>
  <c r="I268" i="15"/>
  <c r="I252" i="15"/>
  <c r="I234" i="15"/>
  <c r="I271" i="15" s="1"/>
  <c r="I224" i="15"/>
  <c r="I219" i="15"/>
  <c r="I215" i="15"/>
  <c r="I204" i="15"/>
  <c r="I184" i="15"/>
  <c r="I147" i="15"/>
  <c r="I125" i="15"/>
  <c r="I165" i="15" s="1"/>
  <c r="I95" i="15"/>
  <c r="I80" i="15"/>
  <c r="I70" i="15"/>
  <c r="I41" i="15"/>
  <c r="I37" i="15"/>
  <c r="I30" i="15"/>
  <c r="I17" i="15"/>
  <c r="K803" i="15"/>
  <c r="H19" i="13" s="1"/>
  <c r="H39" i="13" s="1"/>
  <c r="H782" i="15"/>
  <c r="H803" i="15" s="1"/>
  <c r="G39" i="13" s="1"/>
  <c r="O191" i="2"/>
  <c r="O202" i="2" s="1"/>
  <c r="O283" i="2" s="1"/>
  <c r="I809" i="15" s="1"/>
  <c r="O132" i="2"/>
  <c r="O113" i="2"/>
  <c r="O81" i="2"/>
  <c r="O38" i="2"/>
  <c r="O23" i="2"/>
  <c r="O16" i="2"/>
  <c r="O9" i="2" s="1"/>
  <c r="G517" i="15"/>
  <c r="G515" i="15" s="1"/>
  <c r="G534" i="15"/>
  <c r="G543" i="15"/>
  <c r="G482" i="15"/>
  <c r="G439" i="15"/>
  <c r="G472" i="15"/>
  <c r="G456" i="15"/>
  <c r="R236" i="2"/>
  <c r="O155" i="1" s="1"/>
  <c r="Q236" i="2"/>
  <c r="N155" i="1" s="1"/>
  <c r="R213" i="2"/>
  <c r="O154" i="1" s="1"/>
  <c r="Q213" i="2"/>
  <c r="N154" i="1" s="1"/>
  <c r="G701" i="15"/>
  <c r="G679" i="15"/>
  <c r="G782" i="15"/>
  <c r="F39" i="13" s="1"/>
  <c r="G735" i="15"/>
  <c r="G726" i="15"/>
  <c r="G686" i="15"/>
  <c r="G565" i="15"/>
  <c r="G561" i="15" s="1"/>
  <c r="G412" i="15"/>
  <c r="G390" i="15"/>
  <c r="G219" i="15"/>
  <c r="F753" i="15"/>
  <c r="F751" i="15" s="1"/>
  <c r="F744" i="15"/>
  <c r="J20" i="11"/>
  <c r="F715" i="15"/>
  <c r="F706" i="15"/>
  <c r="F693" i="15"/>
  <c r="F690" i="15"/>
  <c r="F684" i="15"/>
  <c r="F679" i="15"/>
  <c r="F672" i="15"/>
  <c r="F666" i="15"/>
  <c r="J25" i="3" s="1"/>
  <c r="J24" i="3" s="1"/>
  <c r="J9" i="3" s="1"/>
  <c r="H666" i="15"/>
  <c r="F615" i="15"/>
  <c r="F598" i="15"/>
  <c r="F593" i="15"/>
  <c r="F586" i="15"/>
  <c r="F575" i="15"/>
  <c r="F530" i="15"/>
  <c r="F528" i="15"/>
  <c r="F438" i="15"/>
  <c r="F468" i="15"/>
  <c r="F466" i="15"/>
  <c r="F390" i="15"/>
  <c r="F355" i="15"/>
  <c r="F354" i="15" s="1"/>
  <c r="F333" i="15"/>
  <c r="F330" i="15" s="1"/>
  <c r="F324" i="15"/>
  <c r="F317" i="15" s="1"/>
  <c r="F258" i="15"/>
  <c r="F252" i="15" s="1"/>
  <c r="F241" i="15"/>
  <c r="F195" i="15"/>
  <c r="F189" i="15"/>
  <c r="F184" i="15" s="1"/>
  <c r="F138" i="15"/>
  <c r="F130" i="15"/>
  <c r="F80" i="15"/>
  <c r="F89" i="15"/>
  <c r="F77" i="15"/>
  <c r="F70" i="15"/>
  <c r="F66" i="15"/>
  <c r="F49" i="15"/>
  <c r="F41" i="15"/>
  <c r="F30" i="15"/>
  <c r="F17" i="15"/>
  <c r="E753" i="15"/>
  <c r="I28" i="12"/>
  <c r="I27" i="12" s="1"/>
  <c r="I9" i="12" s="1"/>
  <c r="E751" i="15"/>
  <c r="E744" i="15"/>
  <c r="E730" i="15"/>
  <c r="E718" i="15"/>
  <c r="E715" i="15"/>
  <c r="E706" i="15"/>
  <c r="E693" i="15"/>
  <c r="E690" i="15"/>
  <c r="I22" i="6"/>
  <c r="I21" i="6" s="1"/>
  <c r="I9" i="6" s="1"/>
  <c r="E684" i="15"/>
  <c r="E679" i="15"/>
  <c r="E672" i="15"/>
  <c r="E666" i="15"/>
  <c r="E615" i="15"/>
  <c r="E598" i="15"/>
  <c r="E593" i="15"/>
  <c r="E586" i="15"/>
  <c r="G586" i="15"/>
  <c r="E575" i="15"/>
  <c r="E565" i="15"/>
  <c r="E561" i="15"/>
  <c r="E530" i="15"/>
  <c r="E528" i="15"/>
  <c r="E515" i="15"/>
  <c r="E466" i="15"/>
  <c r="E371" i="15"/>
  <c r="E366" i="15"/>
  <c r="E355" i="15"/>
  <c r="E330" i="15"/>
  <c r="E324" i="15"/>
  <c r="E317" i="15" s="1"/>
  <c r="E308" i="15"/>
  <c r="E285" i="15"/>
  <c r="E279" i="15"/>
  <c r="E268" i="15"/>
  <c r="E258" i="15"/>
  <c r="E224" i="15"/>
  <c r="E219" i="15"/>
  <c r="E215" i="15"/>
  <c r="E189" i="15"/>
  <c r="E149" i="15"/>
  <c r="E138" i="15"/>
  <c r="E130" i="15"/>
  <c r="E89" i="15"/>
  <c r="E77" i="15"/>
  <c r="E70" i="15"/>
  <c r="E49" i="15"/>
  <c r="E41" i="15"/>
  <c r="E37" i="15"/>
  <c r="E30" i="15"/>
  <c r="E17" i="15"/>
  <c r="D726" i="15"/>
  <c r="D753" i="15"/>
  <c r="D751" i="15" s="1"/>
  <c r="D744" i="15"/>
  <c r="D735" i="15"/>
  <c r="D730" i="15"/>
  <c r="D718" i="15"/>
  <c r="D715" i="15"/>
  <c r="D706" i="15"/>
  <c r="D701" i="15"/>
  <c r="D693" i="15"/>
  <c r="D690" i="15"/>
  <c r="D686" i="15"/>
  <c r="D684" i="15"/>
  <c r="D679" i="15"/>
  <c r="D672" i="15"/>
  <c r="D666" i="15"/>
  <c r="D615" i="15"/>
  <c r="D598" i="15"/>
  <c r="D593" i="15"/>
  <c r="D565" i="15"/>
  <c r="D561" i="15" s="1"/>
  <c r="D550" i="15"/>
  <c r="D543" i="15" s="1"/>
  <c r="D534" i="15"/>
  <c r="D530" i="15"/>
  <c r="D517" i="15"/>
  <c r="D504" i="15"/>
  <c r="D499" i="15"/>
  <c r="D493" i="15"/>
  <c r="D489" i="15"/>
  <c r="D472" i="15"/>
  <c r="D468" i="15"/>
  <c r="D466" i="15"/>
  <c r="D456" i="15"/>
  <c r="D439" i="15"/>
  <c r="D432" i="15"/>
  <c r="D428" i="15"/>
  <c r="D422" i="15"/>
  <c r="D412" i="15"/>
  <c r="D404" i="15"/>
  <c r="D400" i="15"/>
  <c r="D390" i="15"/>
  <c r="D366" i="15"/>
  <c r="H49" i="10" s="1"/>
  <c r="H48" i="10" s="1"/>
  <c r="H47" i="10" s="1"/>
  <c r="D355" i="15"/>
  <c r="D333" i="15"/>
  <c r="D330" i="15"/>
  <c r="D375" i="15" s="1"/>
  <c r="D324" i="15"/>
  <c r="D317" i="15"/>
  <c r="D258" i="15"/>
  <c r="D252" i="15" s="1"/>
  <c r="D271" i="15" s="1"/>
  <c r="D241" i="15"/>
  <c r="D195" i="15"/>
  <c r="D189" i="15"/>
  <c r="D156" i="15"/>
  <c r="D149" i="15"/>
  <c r="D138" i="15"/>
  <c r="D130" i="15"/>
  <c r="D95" i="15"/>
  <c r="D89" i="15"/>
  <c r="D49" i="15"/>
  <c r="D17" i="15"/>
  <c r="L726" i="15"/>
  <c r="L718" i="15" s="1"/>
  <c r="K726" i="15"/>
  <c r="H726" i="15"/>
  <c r="H718" i="15"/>
  <c r="N16" i="2"/>
  <c r="N9" i="2" s="1"/>
  <c r="M252" i="2"/>
  <c r="M81" i="2"/>
  <c r="L213" i="2"/>
  <c r="N191" i="2"/>
  <c r="L23" i="2"/>
  <c r="N23" i="2"/>
  <c r="L16" i="2"/>
  <c r="L9" i="2" s="1"/>
  <c r="K236" i="2"/>
  <c r="K213" i="2"/>
  <c r="J252" i="2"/>
  <c r="J236" i="2"/>
  <c r="J213" i="2"/>
  <c r="J113" i="2"/>
  <c r="J88" i="2"/>
  <c r="J81" i="2" s="1"/>
  <c r="J61" i="2"/>
  <c r="J46" i="2"/>
  <c r="J38" i="2"/>
  <c r="K38" i="2"/>
  <c r="J23" i="2"/>
  <c r="J16" i="2"/>
  <c r="J9" i="2" s="1"/>
  <c r="F803" i="15"/>
  <c r="E39" i="13" s="1"/>
  <c r="E803" i="15"/>
  <c r="D39" i="13" s="1"/>
  <c r="D782" i="15"/>
  <c r="H679" i="15"/>
  <c r="G751" i="15"/>
  <c r="G730" i="15"/>
  <c r="G666" i="15"/>
  <c r="G575" i="15"/>
  <c r="D575" i="15"/>
  <c r="L565" i="15"/>
  <c r="L561" i="15" s="1"/>
  <c r="K565" i="15"/>
  <c r="H561" i="15"/>
  <c r="L517" i="15"/>
  <c r="K517" i="15"/>
  <c r="H517" i="15"/>
  <c r="L439" i="15"/>
  <c r="K439" i="15"/>
  <c r="H439" i="15"/>
  <c r="L432" i="15"/>
  <c r="K432" i="15"/>
  <c r="H432" i="15"/>
  <c r="G432" i="15"/>
  <c r="L428" i="15"/>
  <c r="K428" i="15"/>
  <c r="H428" i="15"/>
  <c r="G428" i="15"/>
  <c r="L422" i="15"/>
  <c r="L421" i="15" s="1"/>
  <c r="L418" i="15" s="1"/>
  <c r="K422" i="15"/>
  <c r="K421" i="15" s="1"/>
  <c r="M17" i="11" s="1"/>
  <c r="H422" i="15"/>
  <c r="H421" i="15" s="1"/>
  <c r="G422" i="15"/>
  <c r="L412" i="15"/>
  <c r="K412" i="15"/>
  <c r="H412" i="15"/>
  <c r="L404" i="15"/>
  <c r="K404" i="15"/>
  <c r="H404" i="15"/>
  <c r="G404" i="15"/>
  <c r="L400" i="15"/>
  <c r="K400" i="15"/>
  <c r="H400" i="15"/>
  <c r="H388" i="15" s="1"/>
  <c r="H383" i="15" s="1"/>
  <c r="G400" i="15"/>
  <c r="L390" i="15"/>
  <c r="K390" i="15"/>
  <c r="H390" i="15"/>
  <c r="L366" i="15"/>
  <c r="L365" i="15"/>
  <c r="K366" i="15"/>
  <c r="M50" i="10"/>
  <c r="M49" i="10" s="1"/>
  <c r="M48" i="10" s="1"/>
  <c r="M47" i="10" s="1"/>
  <c r="H366" i="15"/>
  <c r="L49" i="10"/>
  <c r="L48" i="10" s="1"/>
  <c r="L47" i="10" s="1"/>
  <c r="G366" i="15"/>
  <c r="G365" i="15"/>
  <c r="L355" i="15"/>
  <c r="N46" i="10"/>
  <c r="N45" i="10" s="1"/>
  <c r="N44" i="10" s="1"/>
  <c r="N43" i="10" s="1"/>
  <c r="K355" i="15"/>
  <c r="M46" i="10"/>
  <c r="M45" i="10" s="1"/>
  <c r="M44" i="10" s="1"/>
  <c r="M43" i="10" s="1"/>
  <c r="H355" i="15"/>
  <c r="H333" i="15"/>
  <c r="L324" i="15"/>
  <c r="L317" i="15" s="1"/>
  <c r="K324" i="15"/>
  <c r="K317" i="15" s="1"/>
  <c r="H324" i="15"/>
  <c r="H317" i="15" s="1"/>
  <c r="G317" i="15"/>
  <c r="D297" i="15"/>
  <c r="D308" i="15"/>
  <c r="M34" i="7"/>
  <c r="H252" i="15"/>
  <c r="G252" i="15"/>
  <c r="L241" i="15"/>
  <c r="L234" i="15" s="1"/>
  <c r="K241" i="15"/>
  <c r="K234" i="15"/>
  <c r="H241" i="15"/>
  <c r="L219" i="15"/>
  <c r="K219" i="15"/>
  <c r="G204" i="15"/>
  <c r="D204" i="15"/>
  <c r="L195" i="15"/>
  <c r="K195" i="15"/>
  <c r="L189" i="15"/>
  <c r="K189" i="15"/>
  <c r="H184" i="15"/>
  <c r="H227" i="15" s="1"/>
  <c r="G184" i="15"/>
  <c r="L156" i="15"/>
  <c r="N39" i="5" s="1"/>
  <c r="K156" i="15"/>
  <c r="M39" i="5"/>
  <c r="G39" i="5" s="1"/>
  <c r="L39" i="5"/>
  <c r="N38" i="5"/>
  <c r="N19" i="5"/>
  <c r="H138" i="15"/>
  <c r="L19" i="5" s="1"/>
  <c r="L130" i="15"/>
  <c r="L125" i="15" s="1"/>
  <c r="K130" i="15"/>
  <c r="K125" i="15"/>
  <c r="M18" i="5"/>
  <c r="G18" i="5" s="1"/>
  <c r="H130" i="15"/>
  <c r="L70" i="15"/>
  <c r="K70" i="15"/>
  <c r="H70" i="15"/>
  <c r="L77" i="15"/>
  <c r="K77" i="15"/>
  <c r="H77" i="15"/>
  <c r="G70" i="15"/>
  <c r="G77" i="15"/>
  <c r="L95" i="15"/>
  <c r="K95" i="15"/>
  <c r="M60" i="3"/>
  <c r="G60" i="3" s="1"/>
  <c r="H95" i="15"/>
  <c r="H89" i="15"/>
  <c r="G89" i="15"/>
  <c r="L49" i="15"/>
  <c r="N23" i="3" s="1"/>
  <c r="K49" i="15"/>
  <c r="L66" i="15"/>
  <c r="K66" i="15"/>
  <c r="D70" i="15"/>
  <c r="D41" i="15"/>
  <c r="D37" i="15"/>
  <c r="D30" i="15"/>
  <c r="G17" i="15"/>
  <c r="H17" i="15"/>
  <c r="K17" i="15"/>
  <c r="L17" i="15"/>
  <c r="G30" i="15"/>
  <c r="H30" i="15"/>
  <c r="K30" i="15"/>
  <c r="L30" i="15"/>
  <c r="N20" i="3"/>
  <c r="H37" i="15"/>
  <c r="K37" i="15"/>
  <c r="M21" i="3" s="1"/>
  <c r="G21" i="3" s="1"/>
  <c r="L37" i="15"/>
  <c r="N21" i="3"/>
  <c r="G41" i="15"/>
  <c r="H41" i="15"/>
  <c r="K41" i="15"/>
  <c r="L41" i="15"/>
  <c r="N22" i="3" s="1"/>
  <c r="G49" i="15"/>
  <c r="D80" i="15"/>
  <c r="G80" i="15"/>
  <c r="H80" i="15"/>
  <c r="K80" i="15"/>
  <c r="L80" i="15"/>
  <c r="M22" i="3"/>
  <c r="G22" i="3" s="1"/>
  <c r="D368" i="15"/>
  <c r="O84" i="1"/>
  <c r="O20" i="1"/>
  <c r="O14" i="1"/>
  <c r="N84" i="1"/>
  <c r="N20" i="1"/>
  <c r="N14" i="1"/>
  <c r="M23" i="2"/>
  <c r="R191" i="2"/>
  <c r="R81" i="2"/>
  <c r="R23" i="2"/>
  <c r="R16" i="2"/>
  <c r="Q191" i="2"/>
  <c r="Q81" i="2"/>
  <c r="Q23" i="2"/>
  <c r="Q16" i="2"/>
  <c r="N10" i="1" s="1"/>
  <c r="M191" i="2"/>
  <c r="M16" i="2"/>
  <c r="J191" i="2"/>
  <c r="N23" i="9"/>
  <c r="N21" i="9" s="1"/>
  <c r="N20" i="9" s="1"/>
  <c r="N9" i="9" s="1"/>
  <c r="L22" i="9"/>
  <c r="L21" i="9" s="1"/>
  <c r="L20" i="9" s="1"/>
  <c r="L9" i="9" s="1"/>
  <c r="K25" i="3"/>
  <c r="K24" i="3" s="1"/>
  <c r="K9" i="3" s="1"/>
  <c r="O126" i="1"/>
  <c r="N126" i="1"/>
  <c r="N119" i="1"/>
  <c r="N124" i="1"/>
  <c r="N78" i="1"/>
  <c r="N32" i="11"/>
  <c r="L456" i="15"/>
  <c r="N14" i="11"/>
  <c r="M14" i="11"/>
  <c r="G14" i="11" s="1"/>
  <c r="N59" i="11"/>
  <c r="N58" i="11" s="1"/>
  <c r="N57" i="11" s="1"/>
  <c r="M59" i="11"/>
  <c r="M58" i="11" s="1"/>
  <c r="M57" i="11" s="1"/>
  <c r="L58" i="11"/>
  <c r="M20" i="11"/>
  <c r="K20" i="11"/>
  <c r="K735" i="15"/>
  <c r="I20" i="11"/>
  <c r="H41" i="10"/>
  <c r="N18" i="10"/>
  <c r="M18" i="10"/>
  <c r="M23" i="9"/>
  <c r="M21" i="9" s="1"/>
  <c r="M20" i="9" s="1"/>
  <c r="M9" i="9" s="1"/>
  <c r="K22" i="9"/>
  <c r="K21" i="9" s="1"/>
  <c r="K20" i="9" s="1"/>
  <c r="K9" i="9" s="1"/>
  <c r="I21" i="9"/>
  <c r="I20" i="9" s="1"/>
  <c r="I9" i="9" s="1"/>
  <c r="H21" i="9"/>
  <c r="H20" i="9" s="1"/>
  <c r="H9" i="9" s="1"/>
  <c r="I38" i="7"/>
  <c r="I37" i="7" s="1"/>
  <c r="N22" i="7"/>
  <c r="L575" i="15"/>
  <c r="K575" i="15"/>
  <c r="H575" i="15"/>
  <c r="H701" i="15"/>
  <c r="H735" i="15"/>
  <c r="L21" i="11" s="1"/>
  <c r="L20" i="11" s="1"/>
  <c r="L715" i="15"/>
  <c r="K715" i="15"/>
  <c r="H715" i="15"/>
  <c r="H543" i="15"/>
  <c r="H456" i="15"/>
  <c r="L472" i="15"/>
  <c r="K472" i="15"/>
  <c r="H472" i="15"/>
  <c r="O95" i="1"/>
  <c r="N95" i="1"/>
  <c r="O90" i="1"/>
  <c r="N90" i="1"/>
  <c r="O87" i="1"/>
  <c r="N87" i="1"/>
  <c r="O50" i="1"/>
  <c r="N50" i="1"/>
  <c r="G715" i="15"/>
  <c r="L679" i="15"/>
  <c r="K679" i="15"/>
  <c r="K718" i="15"/>
  <c r="K456" i="15"/>
  <c r="G468" i="15"/>
  <c r="G466" i="15"/>
  <c r="G297" i="15"/>
  <c r="G308" i="15"/>
  <c r="F297" i="15"/>
  <c r="F308" i="15" s="1"/>
  <c r="D234" i="15"/>
  <c r="F204" i="15"/>
  <c r="L236" i="2"/>
  <c r="J201" i="2"/>
  <c r="M61" i="2"/>
  <c r="K61" i="2"/>
  <c r="M46" i="2"/>
  <c r="L46" i="2"/>
  <c r="K46" i="2"/>
  <c r="N38" i="11"/>
  <c r="L534" i="15"/>
  <c r="L504" i="15"/>
  <c r="N37" i="11"/>
  <c r="N34" i="11"/>
  <c r="N33" i="11"/>
  <c r="M37" i="11"/>
  <c r="M34" i="11"/>
  <c r="M32" i="11"/>
  <c r="K534" i="15"/>
  <c r="M33" i="11"/>
  <c r="M36" i="11"/>
  <c r="N37" i="10"/>
  <c r="M37" i="10"/>
  <c r="N33" i="3"/>
  <c r="M33" i="3"/>
  <c r="N67" i="3"/>
  <c r="N65" i="3" s="1"/>
  <c r="N64" i="3" s="1"/>
  <c r="N63" i="3" s="1"/>
  <c r="M67" i="3"/>
  <c r="M65" i="3" s="1"/>
  <c r="M64" i="3" s="1"/>
  <c r="M63" i="3" s="1"/>
  <c r="N79" i="1"/>
  <c r="H297" i="15"/>
  <c r="H308" i="15" s="1"/>
  <c r="H534" i="15"/>
  <c r="L530" i="15"/>
  <c r="K530" i="15"/>
  <c r="H530" i="15"/>
  <c r="L528" i="15"/>
  <c r="K528" i="15"/>
  <c r="H528" i="15"/>
  <c r="K504" i="15"/>
  <c r="L466" i="15"/>
  <c r="K466" i="15"/>
  <c r="H466" i="15"/>
  <c r="L468" i="15"/>
  <c r="K468" i="15"/>
  <c r="H468" i="15"/>
  <c r="R252" i="2"/>
  <c r="O156" i="1" s="1"/>
  <c r="Q252" i="2"/>
  <c r="K22" i="6"/>
  <c r="K21" i="6" s="1"/>
  <c r="L113" i="2"/>
  <c r="F371" i="15"/>
  <c r="J49" i="10"/>
  <c r="J48" i="10" s="1"/>
  <c r="J47" i="10" s="1"/>
  <c r="F285" i="15"/>
  <c r="F279" i="15"/>
  <c r="F268" i="15"/>
  <c r="F224" i="15"/>
  <c r="F219" i="15"/>
  <c r="F215" i="15"/>
  <c r="L132" i="2"/>
  <c r="K41" i="10"/>
  <c r="M40" i="7"/>
  <c r="N40" i="12"/>
  <c r="M40" i="12"/>
  <c r="K67" i="10"/>
  <c r="N20" i="7"/>
  <c r="M20" i="7"/>
  <c r="N41" i="5"/>
  <c r="M41" i="5"/>
  <c r="H615" i="15"/>
  <c r="H598" i="15"/>
  <c r="L586" i="15"/>
  <c r="K586" i="15"/>
  <c r="H586" i="15"/>
  <c r="H330" i="15"/>
  <c r="H204" i="15"/>
  <c r="H219" i="15"/>
  <c r="M19" i="5"/>
  <c r="G19" i="5" s="1"/>
  <c r="R201" i="2"/>
  <c r="R202" i="2" s="1"/>
  <c r="L809" i="15" s="1"/>
  <c r="Q201" i="2"/>
  <c r="L706" i="15"/>
  <c r="L803" i="15"/>
  <c r="I19" i="13" s="1"/>
  <c r="I39" i="13" s="1"/>
  <c r="D803" i="15"/>
  <c r="C39" i="13" s="1"/>
  <c r="L701" i="15"/>
  <c r="K701" i="15"/>
  <c r="H684" i="15"/>
  <c r="G684" i="15"/>
  <c r="D586" i="15"/>
  <c r="G371" i="15"/>
  <c r="D371" i="15"/>
  <c r="D365" i="15"/>
  <c r="D285" i="15"/>
  <c r="D279" i="15"/>
  <c r="D268" i="15"/>
  <c r="D219" i="15"/>
  <c r="D215" i="15"/>
  <c r="D114" i="15"/>
  <c r="D119" i="15"/>
  <c r="M113" i="2"/>
  <c r="M117" i="2" s="1"/>
  <c r="O144" i="1"/>
  <c r="O124" i="1"/>
  <c r="O121" i="1"/>
  <c r="O120" i="1"/>
  <c r="O119" i="1"/>
  <c r="O118" i="1"/>
  <c r="N121" i="1"/>
  <c r="N120" i="1"/>
  <c r="N118" i="1"/>
  <c r="N117" i="1"/>
  <c r="O113" i="1"/>
  <c r="O112" i="1"/>
  <c r="N113" i="1"/>
  <c r="N112" i="1"/>
  <c r="O92" i="1"/>
  <c r="N92" i="1"/>
  <c r="O91" i="1"/>
  <c r="N91" i="1"/>
  <c r="O88" i="1"/>
  <c r="N88" i="1"/>
  <c r="O86" i="1"/>
  <c r="N86" i="1"/>
  <c r="O85" i="1"/>
  <c r="N85" i="1"/>
  <c r="O83" i="1"/>
  <c r="N83" i="1"/>
  <c r="O82" i="1"/>
  <c r="N82" i="1"/>
  <c r="O81" i="1"/>
  <c r="N81" i="1"/>
  <c r="O80" i="1"/>
  <c r="N80" i="1"/>
  <c r="O79" i="1"/>
  <c r="O77" i="1"/>
  <c r="N77" i="1"/>
  <c r="O75" i="1"/>
  <c r="N75" i="1"/>
  <c r="O74" i="1"/>
  <c r="N74" i="1"/>
  <c r="O73" i="1"/>
  <c r="N73" i="1"/>
  <c r="O72" i="1"/>
  <c r="N72" i="1"/>
  <c r="O71" i="1"/>
  <c r="N71" i="1"/>
  <c r="O38" i="1"/>
  <c r="N38" i="1"/>
  <c r="O54" i="1"/>
  <c r="N54" i="1"/>
  <c r="O52" i="1"/>
  <c r="N52" i="1"/>
  <c r="O48" i="1"/>
  <c r="N48" i="1"/>
  <c r="O44" i="1"/>
  <c r="N44" i="1"/>
  <c r="O42" i="1"/>
  <c r="N42" i="1"/>
  <c r="O40" i="1"/>
  <c r="N40" i="1"/>
  <c r="O36" i="1"/>
  <c r="N36" i="1"/>
  <c r="O34" i="1"/>
  <c r="N34" i="1"/>
  <c r="O32" i="1"/>
  <c r="N32" i="1"/>
  <c r="O30" i="1"/>
  <c r="N30" i="1"/>
  <c r="O18" i="1"/>
  <c r="N18" i="1"/>
  <c r="O16" i="1"/>
  <c r="N16" i="1"/>
  <c r="O12" i="1"/>
  <c r="N12" i="1"/>
  <c r="O8" i="1"/>
  <c r="N8" i="1"/>
  <c r="N59" i="10"/>
  <c r="M59" i="10"/>
  <c r="G59" i="10" s="1"/>
  <c r="J41" i="10"/>
  <c r="I41" i="10"/>
  <c r="J67" i="10"/>
  <c r="J66" i="10" s="1"/>
  <c r="J65" i="10" s="1"/>
  <c r="H67" i="10"/>
  <c r="H66" i="10" s="1"/>
  <c r="H65" i="10" s="1"/>
  <c r="J63" i="10"/>
  <c r="J62" i="10" s="1"/>
  <c r="H63" i="10"/>
  <c r="H62" i="10" s="1"/>
  <c r="J26" i="10"/>
  <c r="J25" i="10" s="1"/>
  <c r="H26" i="10"/>
  <c r="H25" i="10" s="1"/>
  <c r="I31" i="6"/>
  <c r="I30" i="6" s="1"/>
  <c r="I29" i="6" s="1"/>
  <c r="N61" i="3"/>
  <c r="M61" i="3"/>
  <c r="G61" i="3" s="1"/>
  <c r="N39" i="3"/>
  <c r="M39" i="3"/>
  <c r="I65" i="3"/>
  <c r="I64" i="3" s="1"/>
  <c r="I63" i="3" s="1"/>
  <c r="H65" i="3"/>
  <c r="H64" i="3" s="1"/>
  <c r="H63" i="3" s="1"/>
  <c r="J65" i="3"/>
  <c r="J64" i="3" s="1"/>
  <c r="J63" i="3" s="1"/>
  <c r="J42" i="3"/>
  <c r="H42" i="3"/>
  <c r="J39" i="3"/>
  <c r="J32" i="5"/>
  <c r="J31" i="5" s="1"/>
  <c r="J9" i="5" s="1"/>
  <c r="I32" i="5"/>
  <c r="I31" i="5" s="1"/>
  <c r="H32" i="5"/>
  <c r="H31" i="5" s="1"/>
  <c r="K25" i="5"/>
  <c r="H25" i="5"/>
  <c r="H24" i="5" s="1"/>
  <c r="N17" i="6"/>
  <c r="M17" i="6"/>
  <c r="G17" i="6" s="1"/>
  <c r="G13" i="6" s="1"/>
  <c r="G12" i="6" s="1"/>
  <c r="G8" i="6" s="1"/>
  <c r="G2" i="6" s="1"/>
  <c r="K204" i="15"/>
  <c r="J30" i="6"/>
  <c r="J29" i="6" s="1"/>
  <c r="J22" i="6"/>
  <c r="J21" i="6" s="1"/>
  <c r="J9" i="6" s="1"/>
  <c r="J25" i="5"/>
  <c r="J24" i="5" s="1"/>
  <c r="J46" i="6"/>
  <c r="H46" i="6"/>
  <c r="H47" i="6"/>
  <c r="J24" i="7"/>
  <c r="J23" i="7" s="1"/>
  <c r="J31" i="8"/>
  <c r="J30" i="8"/>
  <c r="H31" i="8"/>
  <c r="H30" i="8"/>
  <c r="J21" i="9"/>
  <c r="J20" i="9" s="1"/>
  <c r="J9" i="9" s="1"/>
  <c r="K56" i="11"/>
  <c r="H41" i="11"/>
  <c r="H40" i="11" s="1"/>
  <c r="J41" i="11"/>
  <c r="J40" i="11" s="1"/>
  <c r="H20" i="11"/>
  <c r="H9" i="11" s="1"/>
  <c r="H29" i="12"/>
  <c r="H28" i="12" s="1"/>
  <c r="H27" i="12" s="1"/>
  <c r="H9" i="12" s="1"/>
  <c r="J28" i="12"/>
  <c r="J27" i="12" s="1"/>
  <c r="J9" i="12" s="1"/>
  <c r="L38" i="2"/>
  <c r="J132" i="2"/>
  <c r="J155" i="2" s="1"/>
  <c r="J282" i="2" s="1"/>
  <c r="N20" i="12"/>
  <c r="M20" i="12"/>
  <c r="G20" i="12" s="1"/>
  <c r="G19" i="12" s="1"/>
  <c r="G18" i="12" s="1"/>
  <c r="N26" i="12"/>
  <c r="N25" i="12"/>
  <c r="M26" i="12"/>
  <c r="G26" i="12" s="1"/>
  <c r="M25" i="12"/>
  <c r="G25" i="12" s="1"/>
  <c r="N16" i="12"/>
  <c r="M16" i="12"/>
  <c r="N19" i="7"/>
  <c r="N16" i="7"/>
  <c r="N15" i="7"/>
  <c r="N14" i="7"/>
  <c r="M19" i="7"/>
  <c r="M16" i="7"/>
  <c r="M15" i="7"/>
  <c r="M14" i="7"/>
  <c r="M17" i="7"/>
  <c r="M21" i="7"/>
  <c r="L25" i="5"/>
  <c r="L24" i="5" s="1"/>
  <c r="N25" i="5"/>
  <c r="M25" i="5"/>
  <c r="I25" i="5"/>
  <c r="I24" i="5" s="1"/>
  <c r="L204" i="15"/>
  <c r="L693" i="15"/>
  <c r="K706" i="15"/>
  <c r="L744" i="15"/>
  <c r="K744" i="15"/>
  <c r="L753" i="15"/>
  <c r="K753" i="15"/>
  <c r="G753" i="15"/>
  <c r="K28" i="12"/>
  <c r="K27" i="12" s="1"/>
  <c r="K9" i="12" s="1"/>
  <c r="G706" i="15"/>
  <c r="G693" i="15"/>
  <c r="G672" i="15"/>
  <c r="K32" i="5"/>
  <c r="K31" i="5" s="1"/>
  <c r="L593" i="15"/>
  <c r="K593" i="15"/>
  <c r="L598" i="15"/>
  <c r="K598" i="15"/>
  <c r="K615" i="15"/>
  <c r="G593" i="15"/>
  <c r="G598" i="15"/>
  <c r="G621" i="15" s="1"/>
  <c r="L41" i="5"/>
  <c r="L22" i="6"/>
  <c r="L21" i="6" s="1"/>
  <c r="N16" i="6"/>
  <c r="M16" i="6"/>
  <c r="N61" i="10"/>
  <c r="M61" i="10"/>
  <c r="N56" i="11"/>
  <c r="M56" i="11"/>
  <c r="K561" i="15"/>
  <c r="N34" i="12"/>
  <c r="N33" i="12"/>
  <c r="M34" i="12"/>
  <c r="M33" i="12"/>
  <c r="H753" i="15"/>
  <c r="H751" i="15" s="1"/>
  <c r="H706" i="15"/>
  <c r="K693" i="15"/>
  <c r="H693" i="15"/>
  <c r="H690" i="15"/>
  <c r="E119" i="15"/>
  <c r="K132" i="2"/>
  <c r="K65" i="3"/>
  <c r="K64" i="3" s="1"/>
  <c r="K63" i="3" s="1"/>
  <c r="I49" i="7"/>
  <c r="K113" i="2"/>
  <c r="M38" i="2"/>
  <c r="N38" i="2"/>
  <c r="N113" i="2"/>
  <c r="Q38" i="2"/>
  <c r="Q61" i="2"/>
  <c r="Q113" i="2"/>
  <c r="Q117" i="2" s="1"/>
  <c r="R38" i="2"/>
  <c r="R61" i="2"/>
  <c r="R113" i="2"/>
  <c r="N132" i="2"/>
  <c r="G119" i="15"/>
  <c r="G215" i="15"/>
  <c r="G224" i="15"/>
  <c r="G268" i="15"/>
  <c r="G279" i="15"/>
  <c r="G285" i="15"/>
  <c r="G290" i="15" s="1"/>
  <c r="G615" i="15"/>
  <c r="H119" i="15"/>
  <c r="H215" i="15"/>
  <c r="H224" i="15"/>
  <c r="H268" i="15"/>
  <c r="H279" i="15"/>
  <c r="H285" i="15"/>
  <c r="H371" i="15"/>
  <c r="M15" i="3"/>
  <c r="G15" i="3" s="1"/>
  <c r="M16" i="3"/>
  <c r="M17" i="3"/>
  <c r="G17" i="3" s="1"/>
  <c r="M18" i="3"/>
  <c r="G18" i="3" s="1"/>
  <c r="M30" i="3"/>
  <c r="M31" i="3"/>
  <c r="M32" i="3"/>
  <c r="M34" i="3"/>
  <c r="G34" i="3" s="1"/>
  <c r="M38" i="3"/>
  <c r="G38" i="3" s="1"/>
  <c r="G37" i="3" s="1"/>
  <c r="M43" i="3"/>
  <c r="M42" i="3" s="1"/>
  <c r="M46" i="3"/>
  <c r="G46" i="3" s="1"/>
  <c r="M48" i="3"/>
  <c r="M57" i="3"/>
  <c r="G57" i="3" s="1"/>
  <c r="M58" i="3"/>
  <c r="G58" i="3" s="1"/>
  <c r="M59" i="3"/>
  <c r="M62" i="3"/>
  <c r="G62" i="3" s="1"/>
  <c r="M14" i="4"/>
  <c r="M15" i="4"/>
  <c r="M14" i="5"/>
  <c r="G14" i="5" s="1"/>
  <c r="M15" i="5"/>
  <c r="G15" i="5" s="1"/>
  <c r="M16" i="5"/>
  <c r="G16" i="5" s="1"/>
  <c r="M17" i="5"/>
  <c r="G17" i="5" s="1"/>
  <c r="M20" i="5"/>
  <c r="M21" i="5"/>
  <c r="G21" i="5" s="1"/>
  <c r="M22" i="5"/>
  <c r="G22" i="5" s="1"/>
  <c r="M23" i="5"/>
  <c r="M37" i="5"/>
  <c r="G37" i="5" s="1"/>
  <c r="M40" i="5"/>
  <c r="G40" i="5" s="1"/>
  <c r="M42" i="5"/>
  <c r="G42" i="5" s="1"/>
  <c r="M14" i="6"/>
  <c r="M15" i="6"/>
  <c r="M18" i="6"/>
  <c r="M19" i="6"/>
  <c r="M28" i="6"/>
  <c r="M37" i="6"/>
  <c r="G37" i="6" s="1"/>
  <c r="M39" i="6"/>
  <c r="G39" i="6" s="1"/>
  <c r="M38" i="6"/>
  <c r="M42" i="6"/>
  <c r="M43" i="6"/>
  <c r="M44" i="6"/>
  <c r="M45" i="6"/>
  <c r="M32" i="6"/>
  <c r="G32" i="6" s="1"/>
  <c r="G29" i="6" s="1"/>
  <c r="G26" i="6" s="1"/>
  <c r="G22" i="6" s="1"/>
  <c r="G20" i="6" s="1"/>
  <c r="M30" i="7"/>
  <c r="M31" i="7"/>
  <c r="M32" i="7"/>
  <c r="M33" i="7"/>
  <c r="M35" i="7"/>
  <c r="M14" i="8"/>
  <c r="M15" i="8"/>
  <c r="M16" i="8"/>
  <c r="M17" i="8"/>
  <c r="M26" i="8"/>
  <c r="M27" i="8"/>
  <c r="M28" i="8"/>
  <c r="M29" i="8"/>
  <c r="M14" i="9"/>
  <c r="M15" i="9"/>
  <c r="M16" i="9"/>
  <c r="M17" i="9"/>
  <c r="M18" i="9"/>
  <c r="M19" i="9"/>
  <c r="M14" i="10"/>
  <c r="M15" i="10"/>
  <c r="M16" i="10"/>
  <c r="M17" i="10"/>
  <c r="M22" i="10"/>
  <c r="G22" i="10" s="1"/>
  <c r="G21" i="10" s="1"/>
  <c r="G19" i="10" s="1"/>
  <c r="M23" i="10"/>
  <c r="M24" i="10"/>
  <c r="M32" i="10"/>
  <c r="G32" i="10" s="1"/>
  <c r="M33" i="10"/>
  <c r="M34" i="10"/>
  <c r="M35" i="10"/>
  <c r="M36" i="10"/>
  <c r="M38" i="10"/>
  <c r="M39" i="10"/>
  <c r="G60" i="10"/>
  <c r="M69" i="10"/>
  <c r="M67" i="10" s="1"/>
  <c r="M65" i="10" s="1"/>
  <c r="M73" i="10"/>
  <c r="G73" i="10" s="1"/>
  <c r="M74" i="10"/>
  <c r="M18" i="11"/>
  <c r="M19" i="11"/>
  <c r="M47" i="11"/>
  <c r="G47" i="11" s="1"/>
  <c r="M48" i="11"/>
  <c r="G48" i="11" s="1"/>
  <c r="M49" i="11"/>
  <c r="M50" i="11"/>
  <c r="G50" i="11" s="1"/>
  <c r="M51" i="11"/>
  <c r="M52" i="11"/>
  <c r="M53" i="11"/>
  <c r="M55" i="11"/>
  <c r="M14" i="12"/>
  <c r="G14" i="12" s="1"/>
  <c r="M15" i="12"/>
  <c r="G15" i="12" s="1"/>
  <c r="M21" i="12"/>
  <c r="M38" i="12"/>
  <c r="M39" i="12"/>
  <c r="N15" i="3"/>
  <c r="N16" i="3"/>
  <c r="N17" i="3"/>
  <c r="N18" i="3"/>
  <c r="N30" i="3"/>
  <c r="N31" i="3"/>
  <c r="N32" i="3"/>
  <c r="N34" i="3"/>
  <c r="N38" i="3"/>
  <c r="N43" i="3"/>
  <c r="N42" i="3" s="1"/>
  <c r="N46" i="3"/>
  <c r="N48" i="3"/>
  <c r="N57" i="3"/>
  <c r="N58" i="3"/>
  <c r="N59" i="3"/>
  <c r="N62" i="3"/>
  <c r="N14" i="4"/>
  <c r="N15" i="4"/>
  <c r="N14" i="5"/>
  <c r="N15" i="5"/>
  <c r="N16" i="5"/>
  <c r="N17" i="5"/>
  <c r="N20" i="5"/>
  <c r="N21" i="5"/>
  <c r="N22" i="5"/>
  <c r="N23" i="5"/>
  <c r="N37" i="5"/>
  <c r="N40" i="5"/>
  <c r="N42" i="5"/>
  <c r="N14" i="6"/>
  <c r="N15" i="6"/>
  <c r="N18" i="6"/>
  <c r="N19" i="6"/>
  <c r="N28" i="6"/>
  <c r="N37" i="6"/>
  <c r="N38" i="6"/>
  <c r="N39" i="6"/>
  <c r="N41" i="6"/>
  <c r="N42" i="6"/>
  <c r="N43" i="6"/>
  <c r="N44" i="6"/>
  <c r="N45" i="6"/>
  <c r="N32" i="6"/>
  <c r="N31" i="6" s="1"/>
  <c r="N30" i="6" s="1"/>
  <c r="N29" i="6" s="1"/>
  <c r="N17" i="7"/>
  <c r="N21" i="7"/>
  <c r="N30" i="7"/>
  <c r="N31" i="7"/>
  <c r="N32" i="7"/>
  <c r="N33" i="7"/>
  <c r="N35" i="7"/>
  <c r="N14" i="8"/>
  <c r="N15" i="8"/>
  <c r="N16" i="8"/>
  <c r="N17" i="8"/>
  <c r="N26" i="8"/>
  <c r="N27" i="8"/>
  <c r="N28" i="8"/>
  <c r="N29" i="8"/>
  <c r="N19" i="8"/>
  <c r="N18" i="8" s="1"/>
  <c r="N9" i="8" s="1"/>
  <c r="N31" i="8"/>
  <c r="N30" i="8"/>
  <c r="N14" i="9"/>
  <c r="N15" i="9"/>
  <c r="N16" i="9"/>
  <c r="N17" i="9"/>
  <c r="N18" i="9"/>
  <c r="N19" i="9"/>
  <c r="N14" i="10"/>
  <c r="N15" i="10"/>
  <c r="N16" i="10"/>
  <c r="N17" i="10"/>
  <c r="N22" i="10"/>
  <c r="N23" i="10"/>
  <c r="N24" i="10"/>
  <c r="N32" i="10"/>
  <c r="N33" i="10"/>
  <c r="N34" i="10"/>
  <c r="N35" i="10"/>
  <c r="N36" i="10"/>
  <c r="N38" i="10"/>
  <c r="N39" i="10"/>
  <c r="N69" i="10"/>
  <c r="N67" i="10" s="1"/>
  <c r="N73" i="10"/>
  <c r="N74" i="10"/>
  <c r="N18" i="11"/>
  <c r="N19" i="11"/>
  <c r="N47" i="11"/>
  <c r="N48" i="11"/>
  <c r="N49" i="11"/>
  <c r="N50" i="11"/>
  <c r="N51" i="11"/>
  <c r="N52" i="11"/>
  <c r="N53" i="11"/>
  <c r="N55" i="11"/>
  <c r="N14" i="12"/>
  <c r="N15" i="12"/>
  <c r="N21" i="12"/>
  <c r="N38" i="12"/>
  <c r="N39" i="12"/>
  <c r="L25" i="3"/>
  <c r="L24" i="3" s="1"/>
  <c r="L9" i="3" s="1"/>
  <c r="H672" i="15"/>
  <c r="L47" i="6"/>
  <c r="L46" i="6"/>
  <c r="L31" i="8"/>
  <c r="L30" i="8"/>
  <c r="L26" i="10"/>
  <c r="L25" i="10" s="1"/>
  <c r="L41" i="10"/>
  <c r="L63" i="10"/>
  <c r="L62" i="10" s="1"/>
  <c r="H744" i="15"/>
  <c r="L40" i="11"/>
  <c r="M25" i="3"/>
  <c r="M24" i="3" s="1"/>
  <c r="M9" i="3" s="1"/>
  <c r="K672" i="15"/>
  <c r="M33" i="5" s="1"/>
  <c r="M32" i="5" s="1"/>
  <c r="M31" i="5" s="1"/>
  <c r="M22" i="6"/>
  <c r="M21" i="6"/>
  <c r="M47" i="6"/>
  <c r="M46" i="6"/>
  <c r="M24" i="7"/>
  <c r="M23" i="7" s="1"/>
  <c r="M19" i="8"/>
  <c r="M18" i="8" s="1"/>
  <c r="M9" i="8" s="1"/>
  <c r="M31" i="8"/>
  <c r="M30" i="8"/>
  <c r="M26" i="10"/>
  <c r="M25" i="10" s="1"/>
  <c r="M41" i="10"/>
  <c r="M63" i="10"/>
  <c r="M62" i="10" s="1"/>
  <c r="M41" i="11"/>
  <c r="M40" i="11" s="1"/>
  <c r="N25" i="3"/>
  <c r="N24" i="3" s="1"/>
  <c r="N9" i="3" s="1"/>
  <c r="L672" i="15"/>
  <c r="L760" i="15" s="1"/>
  <c r="L802" i="15" s="1"/>
  <c r="N22" i="6"/>
  <c r="N21" i="6"/>
  <c r="N9" i="6"/>
  <c r="N47" i="6"/>
  <c r="N46" i="6"/>
  <c r="N24" i="7"/>
  <c r="N23" i="7" s="1"/>
  <c r="N9" i="7" s="1"/>
  <c r="N26" i="10"/>
  <c r="N25" i="10" s="1"/>
  <c r="N41" i="10"/>
  <c r="N63" i="10"/>
  <c r="N62" i="10" s="1"/>
  <c r="N20" i="11"/>
  <c r="M51" i="3"/>
  <c r="N51" i="3"/>
  <c r="D132" i="2"/>
  <c r="E132" i="2"/>
  <c r="F132" i="2"/>
  <c r="G132" i="2"/>
  <c r="H132" i="2"/>
  <c r="I132" i="2"/>
  <c r="M132" i="2"/>
  <c r="Q132" i="2"/>
  <c r="R132" i="2"/>
  <c r="D154" i="2"/>
  <c r="D155" i="2" s="1"/>
  <c r="D282" i="2" s="1"/>
  <c r="E154" i="2"/>
  <c r="F154" i="2"/>
  <c r="G154" i="2"/>
  <c r="H154" i="2"/>
  <c r="I154" i="2"/>
  <c r="M154" i="2"/>
  <c r="Q154" i="2"/>
  <c r="Q155" i="2" s="1"/>
  <c r="Q282" i="2" s="1"/>
  <c r="H11" i="13" s="1"/>
  <c r="H34" i="13" s="1"/>
  <c r="D191" i="2"/>
  <c r="F191" i="2"/>
  <c r="H191" i="2"/>
  <c r="D201" i="2"/>
  <c r="E201" i="2"/>
  <c r="E202" i="2" s="1"/>
  <c r="E283" i="2" s="1"/>
  <c r="F201" i="2"/>
  <c r="F202" i="2" s="1"/>
  <c r="F283" i="2" s="1"/>
  <c r="G201" i="2"/>
  <c r="G202" i="2" s="1"/>
  <c r="G283" i="2" s="1"/>
  <c r="H201" i="2"/>
  <c r="I201" i="2"/>
  <c r="I202" i="2" s="1"/>
  <c r="I283" i="2" s="1"/>
  <c r="K201" i="2"/>
  <c r="M201" i="2"/>
  <c r="D268" i="2"/>
  <c r="D284" i="2" s="1"/>
  <c r="F268" i="2"/>
  <c r="F284" i="2"/>
  <c r="H268" i="2"/>
  <c r="H284" i="2" s="1"/>
  <c r="D281" i="2"/>
  <c r="E281" i="2"/>
  <c r="F281" i="2"/>
  <c r="G281" i="2"/>
  <c r="H281" i="2"/>
  <c r="I281" i="2"/>
  <c r="E284" i="2"/>
  <c r="G284" i="2"/>
  <c r="I284" i="2"/>
  <c r="G45" i="3"/>
  <c r="G44" i="3"/>
  <c r="G12" i="3"/>
  <c r="G11" i="3"/>
  <c r="G7" i="3"/>
  <c r="G1" i="3"/>
  <c r="L37" i="3"/>
  <c r="L36" i="3" s="1"/>
  <c r="L35" i="3" s="1"/>
  <c r="L42" i="3"/>
  <c r="L65" i="3"/>
  <c r="L64" i="3" s="1"/>
  <c r="L63" i="3" s="1"/>
  <c r="I42" i="3"/>
  <c r="I25" i="3"/>
  <c r="I24" i="3" s="1"/>
  <c r="I9" i="3" s="1"/>
  <c r="K42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G9" i="3"/>
  <c r="D16" i="3"/>
  <c r="D17" i="3"/>
  <c r="D18" i="3"/>
  <c r="D19" i="3"/>
  <c r="D20" i="3"/>
  <c r="D21" i="3"/>
  <c r="D22" i="3"/>
  <c r="D23" i="3"/>
  <c r="A25" i="3"/>
  <c r="A26" i="3"/>
  <c r="A28" i="3"/>
  <c r="A29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G50" i="3"/>
  <c r="G49" i="3"/>
  <c r="A56" i="3"/>
  <c r="A57" i="3"/>
  <c r="A58" i="3"/>
  <c r="A59" i="3"/>
  <c r="A60" i="3"/>
  <c r="A61" i="3"/>
  <c r="A62" i="3"/>
  <c r="A64" i="3"/>
  <c r="A65" i="3"/>
  <c r="A66" i="3"/>
  <c r="A67" i="3"/>
  <c r="G65" i="3"/>
  <c r="G64" i="3"/>
  <c r="G28" i="12"/>
  <c r="G17" i="12"/>
  <c r="K21" i="12"/>
  <c r="A8" i="12"/>
  <c r="A9" i="12"/>
  <c r="A10" i="12"/>
  <c r="A11" i="12"/>
  <c r="A12" i="12"/>
  <c r="A13" i="12"/>
  <c r="A14" i="12"/>
  <c r="A15" i="12"/>
  <c r="G9" i="12"/>
  <c r="G10" i="12"/>
  <c r="A19" i="12"/>
  <c r="A20" i="12"/>
  <c r="A21" i="12" s="1"/>
  <c r="A22" i="12" s="1"/>
  <c r="A23" i="12" s="1"/>
  <c r="A24" i="12" s="1"/>
  <c r="A25" i="12" s="1"/>
  <c r="A26" i="12" s="1"/>
  <c r="G13" i="4"/>
  <c r="G12" i="4"/>
  <c r="G8" i="4"/>
  <c r="G2" i="4"/>
  <c r="A8" i="4"/>
  <c r="A9" i="4"/>
  <c r="A10" i="4" s="1"/>
  <c r="A11" i="4" s="1"/>
  <c r="A12" i="4" s="1"/>
  <c r="A13" i="4" s="1"/>
  <c r="A14" i="4" s="1"/>
  <c r="G9" i="4"/>
  <c r="L14" i="5"/>
  <c r="L15" i="5"/>
  <c r="L16" i="5"/>
  <c r="L17" i="5"/>
  <c r="L20" i="5"/>
  <c r="L21" i="5"/>
  <c r="L22" i="5"/>
  <c r="L23" i="5"/>
  <c r="L37" i="5"/>
  <c r="L40" i="5"/>
  <c r="L42" i="5"/>
  <c r="A8" i="5"/>
  <c r="A9" i="5" s="1"/>
  <c r="A10" i="5" s="1"/>
  <c r="A11" i="5" s="1"/>
  <c r="A12" i="5" s="1"/>
  <c r="A13" i="5" s="1"/>
  <c r="A14" i="5" s="1"/>
  <c r="A15" i="5" s="1"/>
  <c r="A16" i="5" s="1"/>
  <c r="A17" i="5" s="1"/>
  <c r="G9" i="5"/>
  <c r="G10" i="5"/>
  <c r="A19" i="5"/>
  <c r="A20" i="5" s="1"/>
  <c r="A21" i="5" s="1"/>
  <c r="G31" i="5"/>
  <c r="A32" i="5"/>
  <c r="A33" i="5" s="1"/>
  <c r="A35" i="5"/>
  <c r="A36" i="5" s="1"/>
  <c r="A37" i="5" s="1"/>
  <c r="A38" i="5" s="1"/>
  <c r="A39" i="5" s="1"/>
  <c r="A40" i="5" s="1"/>
  <c r="L30" i="6"/>
  <c r="L29" i="6" s="1"/>
  <c r="I47" i="6"/>
  <c r="I46" i="6"/>
  <c r="K31" i="6"/>
  <c r="K30" i="6" s="1"/>
  <c r="K29" i="6" s="1"/>
  <c r="K47" i="6"/>
  <c r="K46" i="6" s="1"/>
  <c r="A8" i="6"/>
  <c r="A9" i="6"/>
  <c r="A10" i="6"/>
  <c r="A11" i="6"/>
  <c r="A12" i="6"/>
  <c r="A13" i="6"/>
  <c r="A18" i="6"/>
  <c r="A19" i="6" s="1"/>
  <c r="A21" i="6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G30" i="6"/>
  <c r="G34" i="6"/>
  <c r="A35" i="6"/>
  <c r="A36" i="6" s="1"/>
  <c r="A37" i="6" s="1"/>
  <c r="A38" i="6" s="1"/>
  <c r="A39" i="6" s="1"/>
  <c r="A40" i="6" s="1"/>
  <c r="A41" i="6" s="1"/>
  <c r="A42" i="6" s="1"/>
  <c r="A43" i="6" s="1"/>
  <c r="A44" i="6" s="1"/>
  <c r="G47" i="6"/>
  <c r="G46" i="6"/>
  <c r="A47" i="6"/>
  <c r="G13" i="7"/>
  <c r="G11" i="7"/>
  <c r="G7" i="7"/>
  <c r="G29" i="7"/>
  <c r="K50" i="7"/>
  <c r="K48" i="7" s="1"/>
  <c r="K47" i="7" s="1"/>
  <c r="A8" i="7"/>
  <c r="A9" i="7" s="1"/>
  <c r="A10" i="7" s="1"/>
  <c r="A11" i="7" s="1"/>
  <c r="A12" i="7" s="1"/>
  <c r="A13" i="7" s="1"/>
  <c r="A18" i="7" s="1"/>
  <c r="A21" i="7" s="1"/>
  <c r="G9" i="7"/>
  <c r="G23" i="7"/>
  <c r="A24" i="7"/>
  <c r="A25" i="7" s="1"/>
  <c r="A26" i="7" s="1"/>
  <c r="A27" i="7" s="1"/>
  <c r="A28" i="7" s="1"/>
  <c r="A29" i="7" s="1"/>
  <c r="M39" i="7"/>
  <c r="N39" i="7"/>
  <c r="N38" i="7" s="1"/>
  <c r="N37" i="7" s="1"/>
  <c r="L48" i="7"/>
  <c r="L47" i="7" s="1"/>
  <c r="M48" i="7"/>
  <c r="M47" i="7"/>
  <c r="N48" i="7"/>
  <c r="N47" i="7" s="1"/>
  <c r="L49" i="7"/>
  <c r="M49" i="7"/>
  <c r="N49" i="7"/>
  <c r="G13" i="8"/>
  <c r="G12" i="8"/>
  <c r="G25" i="8"/>
  <c r="G24" i="8"/>
  <c r="I31" i="8"/>
  <c r="I30" i="8"/>
  <c r="K31" i="8"/>
  <c r="K30" i="8"/>
  <c r="A8" i="8"/>
  <c r="A9" i="8"/>
  <c r="A10" i="8"/>
  <c r="A11" i="8"/>
  <c r="A12" i="8"/>
  <c r="A13" i="8"/>
  <c r="A14" i="8"/>
  <c r="A15" i="8"/>
  <c r="A16" i="8"/>
  <c r="A17" i="8"/>
  <c r="G9" i="8"/>
  <c r="G18" i="8"/>
  <c r="A19" i="8"/>
  <c r="A20" i="8"/>
  <c r="A23" i="8"/>
  <c r="A24" i="8"/>
  <c r="A25" i="8"/>
  <c r="G13" i="9"/>
  <c r="G12" i="9"/>
  <c r="G8" i="9"/>
  <c r="G2" i="9"/>
  <c r="G1" i="9"/>
  <c r="A8" i="9"/>
  <c r="A9" i="9"/>
  <c r="A10" i="9"/>
  <c r="A11" i="9"/>
  <c r="A12" i="9"/>
  <c r="A13" i="9"/>
  <c r="A14" i="9"/>
  <c r="A19" i="9"/>
  <c r="G9" i="9"/>
  <c r="G20" i="9"/>
  <c r="A21" i="9"/>
  <c r="A22" i="9" s="1"/>
  <c r="A23" i="9" s="1"/>
  <c r="G21" i="9"/>
  <c r="G13" i="10"/>
  <c r="G12" i="10"/>
  <c r="G23" i="10"/>
  <c r="L67" i="10"/>
  <c r="L65" i="10" s="1"/>
  <c r="I67" i="10"/>
  <c r="I26" i="10"/>
  <c r="I25" i="10" s="1"/>
  <c r="I63" i="10"/>
  <c r="I62" i="10" s="1"/>
  <c r="K26" i="10"/>
  <c r="K25" i="10" s="1"/>
  <c r="K63" i="10"/>
  <c r="K62" i="10" s="1"/>
  <c r="A8" i="10"/>
  <c r="A9" i="10" s="1"/>
  <c r="A10" i="10" s="1"/>
  <c r="A11" i="10" s="1"/>
  <c r="A12" i="10" s="1"/>
  <c r="A13" i="10" s="1"/>
  <c r="A14" i="10" s="1"/>
  <c r="A15" i="10" s="1"/>
  <c r="G26" i="10"/>
  <c r="G25" i="10"/>
  <c r="G9" i="10"/>
  <c r="G10" i="10"/>
  <c r="A19" i="10"/>
  <c r="A20" i="10" s="1"/>
  <c r="A21" i="10" s="1"/>
  <c r="A22" i="10" s="1"/>
  <c r="A23" i="10" s="1"/>
  <c r="A24" i="10" s="1"/>
  <c r="A25" i="10" s="1"/>
  <c r="A26" i="10" s="1"/>
  <c r="A27" i="10" s="1"/>
  <c r="G42" i="10"/>
  <c r="G41" i="10" s="1"/>
  <c r="G68" i="10"/>
  <c r="G67" i="10"/>
  <c r="G66" i="10"/>
  <c r="A29" i="10"/>
  <c r="A30" i="10" s="1"/>
  <c r="A31" i="10" s="1"/>
  <c r="A32" i="10" s="1"/>
  <c r="A33" i="10" s="1"/>
  <c r="A34" i="10" s="1"/>
  <c r="A35" i="10" s="1"/>
  <c r="A36" i="10" s="1"/>
  <c r="G29" i="10"/>
  <c r="A38" i="10"/>
  <c r="A39" i="10" s="1"/>
  <c r="A40" i="10" s="1"/>
  <c r="A41" i="10" s="1"/>
  <c r="A42" i="10" s="1"/>
  <c r="A43" i="10" s="1"/>
  <c r="A44" i="10" s="1"/>
  <c r="A45" i="10" s="1"/>
  <c r="A46" i="10" s="1"/>
  <c r="G43" i="10"/>
  <c r="G61" i="10"/>
  <c r="G63" i="10"/>
  <c r="G62" i="10"/>
  <c r="G65" i="10"/>
  <c r="A57" i="10"/>
  <c r="A58" i="10" s="1"/>
  <c r="A59" i="10" s="1"/>
  <c r="A60" i="10" s="1"/>
  <c r="A61" i="10" s="1"/>
  <c r="A63" i="10"/>
  <c r="A64" i="10"/>
  <c r="A66" i="10"/>
  <c r="A67" i="10" s="1"/>
  <c r="A68" i="10" s="1"/>
  <c r="A69" i="10" s="1"/>
  <c r="A70" i="10" s="1"/>
  <c r="A71" i="10" s="1"/>
  <c r="A72" i="10" s="1"/>
  <c r="A73" i="10" s="1"/>
  <c r="A74" i="10" s="1"/>
  <c r="G21" i="11"/>
  <c r="G24" i="11"/>
  <c r="G44" i="11"/>
  <c r="I18" i="11"/>
  <c r="I19" i="11"/>
  <c r="I41" i="11"/>
  <c r="I40" i="11" s="1"/>
  <c r="G744" i="15"/>
  <c r="K41" i="11"/>
  <c r="K40" i="11" s="1"/>
  <c r="A8" i="11"/>
  <c r="A9" i="11"/>
  <c r="A10" i="11"/>
  <c r="G20" i="11"/>
  <c r="G9" i="11" s="1"/>
  <c r="A12" i="11"/>
  <c r="A13" i="11" s="1"/>
  <c r="A14" i="11" s="1"/>
  <c r="A15" i="11" s="1"/>
  <c r="A18" i="11"/>
  <c r="A19" i="11" s="1"/>
  <c r="A21" i="11"/>
  <c r="A22" i="11"/>
  <c r="A25" i="11"/>
  <c r="A41" i="1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G25" i="11"/>
  <c r="G26" i="11"/>
  <c r="G41" i="11"/>
  <c r="G40" i="11" s="1"/>
  <c r="E114" i="15"/>
  <c r="G114" i="15"/>
  <c r="K114" i="15"/>
  <c r="K119" i="15"/>
  <c r="L114" i="15"/>
  <c r="L119" i="15" s="1"/>
  <c r="K215" i="15"/>
  <c r="L215" i="15"/>
  <c r="K224" i="15"/>
  <c r="L224" i="15"/>
  <c r="K268" i="15"/>
  <c r="L268" i="15"/>
  <c r="K279" i="15"/>
  <c r="K290" i="15" s="1"/>
  <c r="L279" i="15"/>
  <c r="L290" i="15"/>
  <c r="K285" i="15"/>
  <c r="L285" i="15"/>
  <c r="K297" i="15"/>
  <c r="K308" i="15"/>
  <c r="L297" i="15"/>
  <c r="L308" i="15" s="1"/>
  <c r="K371" i="15"/>
  <c r="L371" i="15"/>
  <c r="L615" i="15"/>
  <c r="G690" i="15"/>
  <c r="L735" i="15"/>
  <c r="G23" i="8"/>
  <c r="G19" i="8"/>
  <c r="G28" i="7"/>
  <c r="G27" i="7"/>
  <c r="G24" i="7"/>
  <c r="G8" i="8"/>
  <c r="G2" i="8"/>
  <c r="M9" i="6"/>
  <c r="G11" i="9"/>
  <c r="G7" i="9"/>
  <c r="G11" i="4"/>
  <c r="G7" i="4"/>
  <c r="G1" i="4"/>
  <c r="G11" i="10"/>
  <c r="G7" i="10"/>
  <c r="G11" i="8"/>
  <c r="G7" i="8"/>
  <c r="G1" i="8"/>
  <c r="G12" i="7"/>
  <c r="G8" i="7"/>
  <c r="G2" i="7"/>
  <c r="G1" i="7"/>
  <c r="N34" i="7"/>
  <c r="F365" i="15"/>
  <c r="H234" i="15"/>
  <c r="O76" i="1"/>
  <c r="N76" i="1"/>
  <c r="L38" i="5"/>
  <c r="K89" i="15"/>
  <c r="H482" i="15"/>
  <c r="K482" i="15"/>
  <c r="D147" i="15"/>
  <c r="L28" i="12"/>
  <c r="L27" i="12" s="1"/>
  <c r="L9" i="12" s="1"/>
  <c r="L482" i="15"/>
  <c r="N36" i="11"/>
  <c r="M38" i="11"/>
  <c r="L18" i="5"/>
  <c r="N18" i="5"/>
  <c r="M19" i="3"/>
  <c r="G19" i="3" s="1"/>
  <c r="N81" i="2"/>
  <c r="N50" i="10"/>
  <c r="N49" i="10" s="1"/>
  <c r="N48" i="10" s="1"/>
  <c r="N47" i="10" s="1"/>
  <c r="K49" i="10"/>
  <c r="K48" i="10" s="1"/>
  <c r="K47" i="10" s="1"/>
  <c r="D621" i="15"/>
  <c r="D184" i="15"/>
  <c r="D227" i="15" s="1"/>
  <c r="L147" i="15"/>
  <c r="N27" i="11"/>
  <c r="G147" i="15"/>
  <c r="K365" i="15"/>
  <c r="L354" i="15"/>
  <c r="K354" i="15"/>
  <c r="G234" i="15"/>
  <c r="G271" i="15" s="1"/>
  <c r="L89" i="15"/>
  <c r="N60" i="3"/>
  <c r="M40" i="6"/>
  <c r="H354" i="15"/>
  <c r="L45" i="10"/>
  <c r="L44" i="10" s="1"/>
  <c r="L43" i="10" s="1"/>
  <c r="M20" i="3"/>
  <c r="G20" i="3" s="1"/>
  <c r="H621" i="15"/>
  <c r="E147" i="15"/>
  <c r="H365" i="15"/>
  <c r="D482" i="15"/>
  <c r="N42" i="11"/>
  <c r="N41" i="11" s="1"/>
  <c r="N40" i="11" s="1"/>
  <c r="K621" i="15"/>
  <c r="K751" i="15"/>
  <c r="M29" i="12"/>
  <c r="M28" i="12" s="1"/>
  <c r="M27" i="12" s="1"/>
  <c r="M9" i="12" s="1"/>
  <c r="D354" i="15"/>
  <c r="H44" i="10"/>
  <c r="H43" i="10" s="1"/>
  <c r="Q9" i="2"/>
  <c r="Q32" i="2" s="1"/>
  <c r="J117" i="2"/>
  <c r="E354" i="15"/>
  <c r="I45" i="10"/>
  <c r="I44" i="10" s="1"/>
  <c r="I43" i="10" s="1"/>
  <c r="F234" i="15"/>
  <c r="H147" i="15"/>
  <c r="N18" i="7"/>
  <c r="D290" i="15"/>
  <c r="N40" i="6"/>
  <c r="L184" i="15"/>
  <c r="G354" i="15"/>
  <c r="K45" i="10"/>
  <c r="K44" i="10" s="1"/>
  <c r="K43" i="10" s="1"/>
  <c r="D13" i="15"/>
  <c r="D7" i="15"/>
  <c r="D102" i="15"/>
  <c r="H25" i="3"/>
  <c r="H24" i="3" s="1"/>
  <c r="H9" i="3" s="1"/>
  <c r="J38" i="7"/>
  <c r="J37" i="7" s="1"/>
  <c r="G125" i="15"/>
  <c r="G165" i="15" s="1"/>
  <c r="K760" i="15"/>
  <c r="K802" i="15" s="1"/>
  <c r="H18" i="13" s="1"/>
  <c r="H35" i="13" s="1"/>
  <c r="L33" i="5"/>
  <c r="L32" i="5" s="1"/>
  <c r="L31" i="5" s="1"/>
  <c r="N33" i="5"/>
  <c r="N32" i="5" s="1"/>
  <c r="N31" i="5" s="1"/>
  <c r="N30" i="5" s="1"/>
  <c r="I18" i="13"/>
  <c r="I35" i="13" s="1"/>
  <c r="K154" i="2"/>
  <c r="R154" i="2"/>
  <c r="R155" i="2" s="1"/>
  <c r="L57" i="11" l="1"/>
  <c r="K9" i="10"/>
  <c r="N9" i="10"/>
  <c r="L9" i="10"/>
  <c r="M9" i="10"/>
  <c r="J9" i="10"/>
  <c r="I9" i="10"/>
  <c r="H9" i="10"/>
  <c r="L9" i="6"/>
  <c r="K9" i="6"/>
  <c r="R117" i="2"/>
  <c r="I760" i="15"/>
  <c r="I802" i="15" s="1"/>
  <c r="O282" i="2"/>
  <c r="H418" i="15"/>
  <c r="H382" i="15"/>
  <c r="H454" i="15"/>
  <c r="D388" i="15"/>
  <c r="D421" i="15"/>
  <c r="H19" i="12"/>
  <c r="H18" i="12" s="1"/>
  <c r="H17" i="12" s="1"/>
  <c r="H515" i="15"/>
  <c r="H503" i="15" s="1"/>
  <c r="G454" i="15"/>
  <c r="L38" i="7"/>
  <c r="L37" i="7" s="1"/>
  <c r="D418" i="15"/>
  <c r="L26" i="6"/>
  <c r="L25" i="6" s="1"/>
  <c r="L20" i="6" s="1"/>
  <c r="K454" i="15"/>
  <c r="F437" i="15"/>
  <c r="F383" i="15"/>
  <c r="M110" i="1"/>
  <c r="J157" i="1"/>
  <c r="J167" i="1" s="1"/>
  <c r="L202" i="2"/>
  <c r="L283" i="2" s="1"/>
  <c r="E38" i="13" s="1"/>
  <c r="E40" i="13" s="1"/>
  <c r="L32" i="2"/>
  <c r="F621" i="15"/>
  <c r="J45" i="10"/>
  <c r="J44" i="10" s="1"/>
  <c r="J43" i="10" s="1"/>
  <c r="F290" i="15"/>
  <c r="F271" i="15"/>
  <c r="F227" i="15"/>
  <c r="J36" i="6"/>
  <c r="J35" i="6" s="1"/>
  <c r="J34" i="6" s="1"/>
  <c r="F125" i="15"/>
  <c r="G33" i="5"/>
  <c r="G32" i="5" s="1"/>
  <c r="E621" i="15"/>
  <c r="E290" i="15"/>
  <c r="I13" i="7"/>
  <c r="I12" i="7" s="1"/>
  <c r="I11" i="7" s="1"/>
  <c r="E125" i="15"/>
  <c r="E165" i="15" s="1"/>
  <c r="I13" i="5"/>
  <c r="I12" i="5" s="1"/>
  <c r="I11" i="5" s="1"/>
  <c r="E13" i="15"/>
  <c r="E7" i="15" s="1"/>
  <c r="E102" i="15" s="1"/>
  <c r="K9" i="2"/>
  <c r="K32" i="2" s="1"/>
  <c r="H50" i="3"/>
  <c r="H49" i="3" s="1"/>
  <c r="H10" i="3" s="1"/>
  <c r="E252" i="15"/>
  <c r="E271" i="15" s="1"/>
  <c r="J29" i="7"/>
  <c r="J28" i="7" s="1"/>
  <c r="J49" i="7"/>
  <c r="J48" i="7" s="1"/>
  <c r="J47" i="7" s="1"/>
  <c r="N9" i="11"/>
  <c r="I19" i="12"/>
  <c r="I18" i="12" s="1"/>
  <c r="I17" i="12" s="1"/>
  <c r="N37" i="12"/>
  <c r="N36" i="12" s="1"/>
  <c r="N35" i="12" s="1"/>
  <c r="M30" i="5"/>
  <c r="G58" i="10"/>
  <c r="G56" i="10" s="1"/>
  <c r="K13" i="15"/>
  <c r="K7" i="15" s="1"/>
  <c r="J290" i="15"/>
  <c r="K271" i="15"/>
  <c r="L227" i="15"/>
  <c r="K102" i="15"/>
  <c r="J102" i="15"/>
  <c r="M23" i="3"/>
  <c r="G23" i="3" s="1"/>
  <c r="L383" i="15"/>
  <c r="L382" i="15" s="1"/>
  <c r="K383" i="15"/>
  <c r="I383" i="15"/>
  <c r="N17" i="11"/>
  <c r="K515" i="15"/>
  <c r="K503" i="15" s="1"/>
  <c r="L515" i="15"/>
  <c r="L503" i="15" s="1"/>
  <c r="M27" i="11"/>
  <c r="L454" i="15"/>
  <c r="L438" i="15" s="1"/>
  <c r="K438" i="15"/>
  <c r="Q268" i="2"/>
  <c r="H13" i="13" s="1"/>
  <c r="O157" i="1"/>
  <c r="O167" i="1" s="1"/>
  <c r="P155" i="2"/>
  <c r="P282" i="2" s="1"/>
  <c r="J760" i="15"/>
  <c r="J802" i="15" s="1"/>
  <c r="J227" i="15"/>
  <c r="I621" i="15"/>
  <c r="I227" i="15"/>
  <c r="O268" i="2"/>
  <c r="O284" i="2" s="1"/>
  <c r="I810" i="15" s="1"/>
  <c r="O117" i="2"/>
  <c r="N155" i="2"/>
  <c r="N282" i="2" s="1"/>
  <c r="N117" i="2"/>
  <c r="N69" i="2"/>
  <c r="M155" i="2"/>
  <c r="M282" i="2" s="1"/>
  <c r="G803" i="15"/>
  <c r="G760" i="15"/>
  <c r="G421" i="15"/>
  <c r="G418" i="15" s="1"/>
  <c r="G13" i="15"/>
  <c r="G7" i="15" s="1"/>
  <c r="G102" i="15" s="1"/>
  <c r="F13" i="15"/>
  <c r="F7" i="15" s="1"/>
  <c r="F102" i="15" s="1"/>
  <c r="G155" i="2"/>
  <c r="G282" i="2" s="1"/>
  <c r="H155" i="2"/>
  <c r="H282" i="2" s="1"/>
  <c r="M69" i="2"/>
  <c r="O110" i="1"/>
  <c r="J69" i="1"/>
  <c r="J69" i="2"/>
  <c r="K69" i="2"/>
  <c r="J268" i="2"/>
  <c r="J284" i="2" s="1"/>
  <c r="D810" i="15" s="1"/>
  <c r="L268" i="2"/>
  <c r="L284" i="2" s="1"/>
  <c r="E155" i="2"/>
  <c r="E282" i="2" s="1"/>
  <c r="Q202" i="2"/>
  <c r="Q283" i="2" s="1"/>
  <c r="K809" i="15" s="1"/>
  <c r="N156" i="1"/>
  <c r="N157" i="1" s="1"/>
  <c r="N167" i="1" s="1"/>
  <c r="J202" i="2"/>
  <c r="J283" i="2" s="1"/>
  <c r="C38" i="13" s="1"/>
  <c r="C40" i="13" s="1"/>
  <c r="O32" i="2"/>
  <c r="O69" i="2"/>
  <c r="L808" i="15"/>
  <c r="R282" i="2"/>
  <c r="I11" i="13" s="1"/>
  <c r="I34" i="13" s="1"/>
  <c r="I36" i="13" s="1"/>
  <c r="D809" i="15"/>
  <c r="E285" i="2"/>
  <c r="R69" i="2"/>
  <c r="K202" i="2"/>
  <c r="K283" i="2" s="1"/>
  <c r="M202" i="2"/>
  <c r="M283" i="2" s="1"/>
  <c r="I155" i="2"/>
  <c r="I282" i="2" s="1"/>
  <c r="L69" i="2"/>
  <c r="P117" i="2"/>
  <c r="K155" i="2"/>
  <c r="K282" i="2" s="1"/>
  <c r="E808" i="15" s="1"/>
  <c r="N268" i="2"/>
  <c r="P32" i="2"/>
  <c r="G285" i="2"/>
  <c r="H202" i="2"/>
  <c r="H283" i="2" s="1"/>
  <c r="F155" i="2"/>
  <c r="F282" i="2" s="1"/>
  <c r="F285" i="2" s="1"/>
  <c r="J32" i="2"/>
  <c r="J118" i="2" s="1"/>
  <c r="J281" i="2" s="1"/>
  <c r="R268" i="2"/>
  <c r="J621" i="15"/>
  <c r="G13" i="12"/>
  <c r="G12" i="12" s="1"/>
  <c r="K38" i="7"/>
  <c r="K37" i="7" s="1"/>
  <c r="M37" i="3"/>
  <c r="M36" i="3" s="1"/>
  <c r="M35" i="3" s="1"/>
  <c r="J32" i="12"/>
  <c r="J31" i="12" s="1"/>
  <c r="J30" i="12" s="1"/>
  <c r="J19" i="8"/>
  <c r="J18" i="8" s="1"/>
  <c r="J9" i="8" s="1"/>
  <c r="H31" i="6"/>
  <c r="H30" i="6" s="1"/>
  <c r="H29" i="6" s="1"/>
  <c r="H44" i="3"/>
  <c r="H41" i="3" s="1"/>
  <c r="J72" i="10"/>
  <c r="J71" i="10" s="1"/>
  <c r="J70" i="10" s="1"/>
  <c r="I44" i="3"/>
  <c r="I41" i="3" s="1"/>
  <c r="K165" i="15"/>
  <c r="G503" i="15"/>
  <c r="H760" i="15"/>
  <c r="H802" i="15" s="1"/>
  <c r="G35" i="13" s="1"/>
  <c r="L14" i="3"/>
  <c r="L13" i="3" s="1"/>
  <c r="L12" i="3" s="1"/>
  <c r="H13" i="15"/>
  <c r="H7" i="15" s="1"/>
  <c r="H102" i="15" s="1"/>
  <c r="H13" i="5"/>
  <c r="H12" i="5" s="1"/>
  <c r="D125" i="15"/>
  <c r="D165" i="15" s="1"/>
  <c r="D454" i="15"/>
  <c r="E438" i="15"/>
  <c r="G438" i="15"/>
  <c r="H13" i="11"/>
  <c r="H12" i="11" s="1"/>
  <c r="D383" i="15"/>
  <c r="D382" i="15" s="1"/>
  <c r="E383" i="15"/>
  <c r="H438" i="15"/>
  <c r="H437" i="15" s="1"/>
  <c r="H577" i="15" s="1"/>
  <c r="H271" i="15"/>
  <c r="H125" i="15"/>
  <c r="H165" i="15" s="1"/>
  <c r="L165" i="15"/>
  <c r="L271" i="15"/>
  <c r="K418" i="15"/>
  <c r="D515" i="15"/>
  <c r="D503" i="15" s="1"/>
  <c r="D760" i="15"/>
  <c r="D802" i="15" s="1"/>
  <c r="F418" i="15"/>
  <c r="F802" i="15"/>
  <c r="E35" i="13" s="1"/>
  <c r="H290" i="15"/>
  <c r="L621" i="15"/>
  <c r="N29" i="12"/>
  <c r="N28" i="12" s="1"/>
  <c r="N27" i="12" s="1"/>
  <c r="N9" i="12" s="1"/>
  <c r="L751" i="15"/>
  <c r="I9" i="11"/>
  <c r="N19" i="3"/>
  <c r="N14" i="3" s="1"/>
  <c r="N13" i="3" s="1"/>
  <c r="L13" i="15"/>
  <c r="L7" i="15" s="1"/>
  <c r="L102" i="15" s="1"/>
  <c r="K147" i="15"/>
  <c r="M38" i="5"/>
  <c r="G38" i="5" s="1"/>
  <c r="G36" i="5" s="1"/>
  <c r="G227" i="15"/>
  <c r="M41" i="6"/>
  <c r="K184" i="15"/>
  <c r="K227" i="15" s="1"/>
  <c r="M15" i="11"/>
  <c r="G15" i="11" s="1"/>
  <c r="E184" i="15"/>
  <c r="E227" i="15" s="1"/>
  <c r="I36" i="6"/>
  <c r="I35" i="6" s="1"/>
  <c r="I34" i="6" s="1"/>
  <c r="E365" i="15"/>
  <c r="I49" i="10"/>
  <c r="I48" i="10" s="1"/>
  <c r="I47" i="10" s="1"/>
  <c r="E503" i="15"/>
  <c r="E760" i="15"/>
  <c r="E802" i="15" s="1"/>
  <c r="D35" i="13" s="1"/>
  <c r="J36" i="5"/>
  <c r="J35" i="5" s="1"/>
  <c r="I13" i="15"/>
  <c r="I7" i="15" s="1"/>
  <c r="I102" i="15" s="1"/>
  <c r="H13" i="10"/>
  <c r="H12" i="10" s="1"/>
  <c r="H11" i="10" s="1"/>
  <c r="J421" i="15"/>
  <c r="N50" i="3"/>
  <c r="N49" i="3" s="1"/>
  <c r="N10" i="3" s="1"/>
  <c r="G31" i="10"/>
  <c r="G28" i="10" s="1"/>
  <c r="J19" i="12"/>
  <c r="J18" i="12" s="1"/>
  <c r="J17" i="12" s="1"/>
  <c r="I421" i="15"/>
  <c r="I418" i="15" s="1"/>
  <c r="J388" i="15"/>
  <c r="J383" i="15" s="1"/>
  <c r="I48" i="7"/>
  <c r="I47" i="7" s="1"/>
  <c r="I72" i="10"/>
  <c r="I71" i="10" s="1"/>
  <c r="I70" i="10" s="1"/>
  <c r="L72" i="10"/>
  <c r="L71" i="10" s="1"/>
  <c r="L70" i="10" s="1"/>
  <c r="I26" i="6"/>
  <c r="I25" i="6" s="1"/>
  <c r="I20" i="6" s="1"/>
  <c r="L44" i="3"/>
  <c r="L41" i="3" s="1"/>
  <c r="N13" i="12"/>
  <c r="N12" i="12" s="1"/>
  <c r="N11" i="12" s="1"/>
  <c r="N72" i="10"/>
  <c r="N71" i="10" s="1"/>
  <c r="N70" i="10" s="1"/>
  <c r="N13" i="4"/>
  <c r="N12" i="4" s="1"/>
  <c r="N8" i="4" s="1"/>
  <c r="N44" i="3"/>
  <c r="N41" i="3" s="1"/>
  <c r="M44" i="3"/>
  <c r="M41" i="3" s="1"/>
  <c r="I37" i="3"/>
  <c r="I36" i="3" s="1"/>
  <c r="I35" i="3" s="1"/>
  <c r="I32" i="12"/>
  <c r="I31" i="12" s="1"/>
  <c r="I30" i="12" s="1"/>
  <c r="L32" i="12"/>
  <c r="L31" i="12" s="1"/>
  <c r="L30" i="12" s="1"/>
  <c r="J13" i="12"/>
  <c r="J12" i="12" s="1"/>
  <c r="J11" i="12" s="1"/>
  <c r="J13" i="8"/>
  <c r="J12" i="8" s="1"/>
  <c r="J21" i="10"/>
  <c r="J20" i="10" s="1"/>
  <c r="J19" i="10" s="1"/>
  <c r="M50" i="3"/>
  <c r="M49" i="3" s="1"/>
  <c r="M10" i="3" s="1"/>
  <c r="H24" i="7"/>
  <c r="H23" i="7" s="1"/>
  <c r="H9" i="7" s="1"/>
  <c r="I58" i="10"/>
  <c r="I57" i="10" s="1"/>
  <c r="I56" i="10" s="1"/>
  <c r="H24" i="12"/>
  <c r="H23" i="12" s="1"/>
  <c r="H22" i="12" s="1"/>
  <c r="L9" i="11"/>
  <c r="I13" i="4"/>
  <c r="I12" i="4" s="1"/>
  <c r="I11" i="4" s="1"/>
  <c r="L19" i="12"/>
  <c r="L18" i="12" s="1"/>
  <c r="L17" i="12" s="1"/>
  <c r="K72" i="10"/>
  <c r="K71" i="10" s="1"/>
  <c r="K70" i="10" s="1"/>
  <c r="L13" i="12"/>
  <c r="L12" i="12" s="1"/>
  <c r="L11" i="12" s="1"/>
  <c r="I50" i="3"/>
  <c r="I49" i="3" s="1"/>
  <c r="I10" i="3" s="1"/>
  <c r="H13" i="6"/>
  <c r="H12" i="6" s="1"/>
  <c r="H11" i="6" s="1"/>
  <c r="K37" i="12"/>
  <c r="K36" i="12" s="1"/>
  <c r="K35" i="12" s="1"/>
  <c r="K49" i="3"/>
  <c r="K10" i="3" s="1"/>
  <c r="K44" i="3"/>
  <c r="K41" i="3" s="1"/>
  <c r="N58" i="10"/>
  <c r="N57" i="10" s="1"/>
  <c r="K13" i="12"/>
  <c r="K12" i="12" s="1"/>
  <c r="K11" i="12" s="1"/>
  <c r="H49" i="7"/>
  <c r="H48" i="7" s="1"/>
  <c r="H47" i="7" s="1"/>
  <c r="J13" i="4"/>
  <c r="J12" i="4" s="1"/>
  <c r="J11" i="4" s="1"/>
  <c r="J49" i="3"/>
  <c r="J10" i="3" s="1"/>
  <c r="H72" i="10"/>
  <c r="H71" i="10" s="1"/>
  <c r="H70" i="10" s="1"/>
  <c r="I24" i="12"/>
  <c r="I22" i="12" s="1"/>
  <c r="L50" i="3"/>
  <c r="L49" i="3" s="1"/>
  <c r="L10" i="3" s="1"/>
  <c r="H58" i="10"/>
  <c r="H57" i="10" s="1"/>
  <c r="H56" i="10" s="1"/>
  <c r="K9" i="11"/>
  <c r="L157" i="1"/>
  <c r="L167" i="1" s="1"/>
  <c r="M268" i="2"/>
  <c r="M284" i="2" s="1"/>
  <c r="G810" i="15" s="1"/>
  <c r="C36" i="13"/>
  <c r="D808" i="15"/>
  <c r="K810" i="15"/>
  <c r="Q284" i="2"/>
  <c r="G808" i="15"/>
  <c r="H285" i="2"/>
  <c r="H808" i="15"/>
  <c r="D807" i="15"/>
  <c r="J285" i="2"/>
  <c r="L5" i="1"/>
  <c r="M9" i="2"/>
  <c r="M32" i="2" s="1"/>
  <c r="M118" i="2" s="1"/>
  <c r="M281" i="2" s="1"/>
  <c r="I285" i="2"/>
  <c r="K157" i="1"/>
  <c r="K167" i="1" s="1"/>
  <c r="K268" i="2"/>
  <c r="L117" i="2"/>
  <c r="K808" i="15"/>
  <c r="F810" i="15"/>
  <c r="N132" i="1"/>
  <c r="N166" i="1" s="1"/>
  <c r="Q69" i="2"/>
  <c r="Q118" i="2" s="1"/>
  <c r="Q281" i="2" s="1"/>
  <c r="L155" i="2"/>
  <c r="L282" i="2" s="1"/>
  <c r="R283" i="2"/>
  <c r="I12" i="13" s="1"/>
  <c r="I38" i="13" s="1"/>
  <c r="I40" i="13" s="1"/>
  <c r="D202" i="2"/>
  <c r="D283" i="2" s="1"/>
  <c r="D285" i="2" s="1"/>
  <c r="N110" i="1"/>
  <c r="I157" i="1"/>
  <c r="I167" i="1" s="1"/>
  <c r="O10" i="1"/>
  <c r="O5" i="1" s="1"/>
  <c r="R9" i="2"/>
  <c r="R32" i="2" s="1"/>
  <c r="N202" i="2"/>
  <c r="N283" i="2" s="1"/>
  <c r="N32" i="2"/>
  <c r="P202" i="2"/>
  <c r="P283" i="2" s="1"/>
  <c r="K69" i="1"/>
  <c r="I5" i="1"/>
  <c r="H56" i="3"/>
  <c r="H55" i="3" s="1"/>
  <c r="H54" i="3" s="1"/>
  <c r="G11" i="6"/>
  <c r="G7" i="6" s="1"/>
  <c r="G1" i="6" s="1"/>
  <c r="M36" i="6"/>
  <c r="M35" i="6" s="1"/>
  <c r="M34" i="6" s="1"/>
  <c r="I31" i="10"/>
  <c r="I30" i="10" s="1"/>
  <c r="I29" i="10" s="1"/>
  <c r="K13" i="8"/>
  <c r="K12" i="8" s="1"/>
  <c r="J13" i="10"/>
  <c r="J12" i="10" s="1"/>
  <c r="J30" i="10"/>
  <c r="J13" i="9"/>
  <c r="J12" i="9" s="1"/>
  <c r="J8" i="9" s="1"/>
  <c r="J7" i="9" s="1"/>
  <c r="H26" i="6"/>
  <c r="H25" i="6" s="1"/>
  <c r="J14" i="3"/>
  <c r="J13" i="3" s="1"/>
  <c r="J12" i="3" s="1"/>
  <c r="H36" i="5"/>
  <c r="H35" i="5" s="1"/>
  <c r="H34" i="5" s="1"/>
  <c r="K46" i="11"/>
  <c r="K45" i="11" s="1"/>
  <c r="K44" i="11" s="1"/>
  <c r="K13" i="10"/>
  <c r="K12" i="10" s="1"/>
  <c r="I13" i="9"/>
  <c r="I12" i="9" s="1"/>
  <c r="I8" i="9" s="1"/>
  <c r="I7" i="9" s="1"/>
  <c r="K19" i="8"/>
  <c r="K18" i="8" s="1"/>
  <c r="L12" i="6"/>
  <c r="M26" i="6"/>
  <c r="M25" i="6" s="1"/>
  <c r="M20" i="6" s="1"/>
  <c r="H32" i="12"/>
  <c r="H31" i="12" s="1"/>
  <c r="H30" i="12" s="1"/>
  <c r="H37" i="3"/>
  <c r="H36" i="3" s="1"/>
  <c r="H35" i="3" s="1"/>
  <c r="L24" i="7"/>
  <c r="L23" i="7" s="1"/>
  <c r="H13" i="9"/>
  <c r="H12" i="9" s="1"/>
  <c r="H8" i="9" s="1"/>
  <c r="H7" i="9" s="1"/>
  <c r="J13" i="6"/>
  <c r="J12" i="6" s="1"/>
  <c r="J11" i="6" s="1"/>
  <c r="G43" i="3"/>
  <c r="G42" i="3" s="1"/>
  <c r="G40" i="3" s="1"/>
  <c r="K49" i="7"/>
  <c r="I30" i="5"/>
  <c r="G35" i="3"/>
  <c r="G36" i="3"/>
  <c r="K29" i="3"/>
  <c r="K28" i="3" s="1"/>
  <c r="K27" i="3" s="1"/>
  <c r="M66" i="10"/>
  <c r="L19" i="8"/>
  <c r="L18" i="8" s="1"/>
  <c r="L9" i="8" s="1"/>
  <c r="K24" i="12"/>
  <c r="K22" i="12" s="1"/>
  <c r="N24" i="12"/>
  <c r="J26" i="6"/>
  <c r="J25" i="6" s="1"/>
  <c r="J20" i="6" s="1"/>
  <c r="H13" i="7"/>
  <c r="H12" i="7" s="1"/>
  <c r="N31" i="11"/>
  <c r="K36" i="5"/>
  <c r="K35" i="5" s="1"/>
  <c r="G24" i="12"/>
  <c r="G22" i="12" s="1"/>
  <c r="N32" i="12"/>
  <c r="N31" i="12" s="1"/>
  <c r="N30" i="12" s="1"/>
  <c r="L30" i="5"/>
  <c r="I28" i="7"/>
  <c r="I14" i="3"/>
  <c r="I13" i="3" s="1"/>
  <c r="I12" i="3" s="1"/>
  <c r="K13" i="5"/>
  <c r="K12" i="5" s="1"/>
  <c r="K11" i="5" s="1"/>
  <c r="I37" i="12"/>
  <c r="I36" i="12" s="1"/>
  <c r="N21" i="10"/>
  <c r="N20" i="10" s="1"/>
  <c r="N19" i="10" s="1"/>
  <c r="N25" i="8"/>
  <c r="N24" i="8" s="1"/>
  <c r="N23" i="8" s="1"/>
  <c r="N13" i="8"/>
  <c r="N12" i="8" s="1"/>
  <c r="N11" i="8" s="1"/>
  <c r="N26" i="6"/>
  <c r="N25" i="6" s="1"/>
  <c r="N20" i="6" s="1"/>
  <c r="N13" i="6"/>
  <c r="N12" i="6" s="1"/>
  <c r="N11" i="6" s="1"/>
  <c r="N29" i="3"/>
  <c r="N28" i="3" s="1"/>
  <c r="N27" i="3" s="1"/>
  <c r="M37" i="12"/>
  <c r="M36" i="12" s="1"/>
  <c r="M35" i="12" s="1"/>
  <c r="M13" i="9"/>
  <c r="M12" i="9" s="1"/>
  <c r="M8" i="9" s="1"/>
  <c r="M7" i="9" s="1"/>
  <c r="M13" i="8"/>
  <c r="M12" i="8" s="1"/>
  <c r="M11" i="8" s="1"/>
  <c r="H46" i="11"/>
  <c r="H45" i="11" s="1"/>
  <c r="H44" i="11" s="1"/>
  <c r="H25" i="8"/>
  <c r="H24" i="8" s="1"/>
  <c r="H23" i="8" s="1"/>
  <c r="J9" i="7"/>
  <c r="I24" i="7"/>
  <c r="I23" i="7" s="1"/>
  <c r="I9" i="7" s="1"/>
  <c r="K30" i="5"/>
  <c r="N65" i="10"/>
  <c r="N66" i="10"/>
  <c r="H30" i="5"/>
  <c r="I13" i="10"/>
  <c r="I12" i="10" s="1"/>
  <c r="I11" i="10" s="1"/>
  <c r="M31" i="10"/>
  <c r="M30" i="10" s="1"/>
  <c r="M29" i="10" s="1"/>
  <c r="I29" i="3"/>
  <c r="I28" i="3" s="1"/>
  <c r="I27" i="3" s="1"/>
  <c r="J9" i="11"/>
  <c r="J58" i="10"/>
  <c r="J57" i="10" s="1"/>
  <c r="J56" i="10" s="1"/>
  <c r="M9" i="11"/>
  <c r="L46" i="11"/>
  <c r="L45" i="11" s="1"/>
  <c r="L44" i="11" s="1"/>
  <c r="N46" i="11"/>
  <c r="N45" i="11" s="1"/>
  <c r="N44" i="11" s="1"/>
  <c r="N28" i="7"/>
  <c r="M19" i="12"/>
  <c r="M18" i="12" s="1"/>
  <c r="M17" i="12" s="1"/>
  <c r="M24" i="12"/>
  <c r="L66" i="10"/>
  <c r="M31" i="6"/>
  <c r="M30" i="6" s="1"/>
  <c r="M29" i="6" s="1"/>
  <c r="L56" i="3"/>
  <c r="L55" i="3" s="1"/>
  <c r="L54" i="3" s="1"/>
  <c r="J13" i="7"/>
  <c r="J12" i="7" s="1"/>
  <c r="J11" i="7" s="1"/>
  <c r="K13" i="7"/>
  <c r="K12" i="7" s="1"/>
  <c r="K11" i="7" s="1"/>
  <c r="K21" i="10"/>
  <c r="K20" i="10" s="1"/>
  <c r="K19" i="10" s="1"/>
  <c r="M38" i="7"/>
  <c r="M37" i="7" s="1"/>
  <c r="M9" i="7" s="1"/>
  <c r="I56" i="3"/>
  <c r="I55" i="3" s="1"/>
  <c r="I54" i="3" s="1"/>
  <c r="L13" i="7"/>
  <c r="L12" i="7" s="1"/>
  <c r="K13" i="4"/>
  <c r="K12" i="4" s="1"/>
  <c r="K8" i="4" s="1"/>
  <c r="K7" i="4" s="1"/>
  <c r="L13" i="4"/>
  <c r="L12" i="4" s="1"/>
  <c r="L11" i="4" s="1"/>
  <c r="K19" i="12"/>
  <c r="K18" i="12" s="1"/>
  <c r="K17" i="12" s="1"/>
  <c r="L37" i="12"/>
  <c r="L36" i="12" s="1"/>
  <c r="L35" i="12" s="1"/>
  <c r="K37" i="3"/>
  <c r="K36" i="3" s="1"/>
  <c r="K35" i="3" s="1"/>
  <c r="L24" i="12"/>
  <c r="K32" i="12"/>
  <c r="K31" i="12" s="1"/>
  <c r="K30" i="12" s="1"/>
  <c r="M32" i="12"/>
  <c r="M31" i="12" s="1"/>
  <c r="M30" i="12" s="1"/>
  <c r="H13" i="8"/>
  <c r="H12" i="8" s="1"/>
  <c r="J25" i="8"/>
  <c r="J24" i="8" s="1"/>
  <c r="J23" i="8" s="1"/>
  <c r="J44" i="3"/>
  <c r="J41" i="3" s="1"/>
  <c r="K65" i="10"/>
  <c r="K66" i="10"/>
  <c r="G57" i="10"/>
  <c r="G45" i="10" s="1"/>
  <c r="G44" i="10" s="1"/>
  <c r="K56" i="3"/>
  <c r="K55" i="3" s="1"/>
  <c r="K54" i="3" s="1"/>
  <c r="L29" i="3"/>
  <c r="L28" i="3" s="1"/>
  <c r="L27" i="3" s="1"/>
  <c r="M21" i="10"/>
  <c r="M20" i="10" s="1"/>
  <c r="M19" i="10" s="1"/>
  <c r="M13" i="10"/>
  <c r="M12" i="10" s="1"/>
  <c r="M11" i="10" s="1"/>
  <c r="M25" i="8"/>
  <c r="M24" i="8" s="1"/>
  <c r="M23" i="8" s="1"/>
  <c r="M13" i="4"/>
  <c r="M12" i="4" s="1"/>
  <c r="M46" i="11"/>
  <c r="M45" i="11" s="1"/>
  <c r="M44" i="11" s="1"/>
  <c r="M58" i="10"/>
  <c r="M57" i="10" s="1"/>
  <c r="M13" i="6"/>
  <c r="M12" i="6" s="1"/>
  <c r="M11" i="6" s="1"/>
  <c r="M13" i="7"/>
  <c r="M12" i="7" s="1"/>
  <c r="M11" i="7" s="1"/>
  <c r="N13" i="7"/>
  <c r="N12" i="7" s="1"/>
  <c r="N11" i="7" s="1"/>
  <c r="N19" i="12"/>
  <c r="N18" i="12" s="1"/>
  <c r="N17" i="12" s="1"/>
  <c r="H13" i="12"/>
  <c r="H12" i="12" s="1"/>
  <c r="H37" i="12"/>
  <c r="H36" i="12" s="1"/>
  <c r="H35" i="12" s="1"/>
  <c r="J37" i="12"/>
  <c r="J36" i="12" s="1"/>
  <c r="J35" i="12" s="1"/>
  <c r="J46" i="11"/>
  <c r="J45" i="11" s="1"/>
  <c r="J44" i="11" s="1"/>
  <c r="I45" i="11"/>
  <c r="I44" i="11" s="1"/>
  <c r="H13" i="4"/>
  <c r="H12" i="4" s="1"/>
  <c r="H14" i="3"/>
  <c r="H13" i="3" s="1"/>
  <c r="H12" i="3" s="1"/>
  <c r="H29" i="3"/>
  <c r="J29" i="3"/>
  <c r="J28" i="3" s="1"/>
  <c r="J27" i="3" s="1"/>
  <c r="J56" i="3"/>
  <c r="J55" i="3" s="1"/>
  <c r="J54" i="3" s="1"/>
  <c r="K14" i="3"/>
  <c r="K13" i="3" s="1"/>
  <c r="K12" i="3" s="1"/>
  <c r="N37" i="3"/>
  <c r="N36" i="3" s="1"/>
  <c r="N35" i="3" s="1"/>
  <c r="H21" i="10"/>
  <c r="H20" i="10" s="1"/>
  <c r="H19" i="10" s="1"/>
  <c r="H31" i="10"/>
  <c r="H30" i="10" s="1"/>
  <c r="M29" i="3"/>
  <c r="M28" i="3" s="1"/>
  <c r="M27" i="3" s="1"/>
  <c r="H19" i="8"/>
  <c r="H18" i="8" s="1"/>
  <c r="H9" i="8" s="1"/>
  <c r="K58" i="10"/>
  <c r="K57" i="10" s="1"/>
  <c r="K56" i="10" s="1"/>
  <c r="M31" i="11"/>
  <c r="I21" i="10"/>
  <c r="I20" i="10" s="1"/>
  <c r="I19" i="10" s="1"/>
  <c r="K31" i="10"/>
  <c r="K30" i="10" s="1"/>
  <c r="K29" i="10" s="1"/>
  <c r="K28" i="10" s="1"/>
  <c r="M28" i="7"/>
  <c r="G21" i="6"/>
  <c r="G9" i="6" s="1"/>
  <c r="G20" i="10"/>
  <c r="G8" i="10" s="1"/>
  <c r="G2" i="10" s="1"/>
  <c r="G1" i="10" s="1"/>
  <c r="M13" i="12"/>
  <c r="M12" i="12" s="1"/>
  <c r="M11" i="12" s="1"/>
  <c r="N56" i="3"/>
  <c r="N55" i="3" s="1"/>
  <c r="N54" i="3" s="1"/>
  <c r="I36" i="5"/>
  <c r="I35" i="5" s="1"/>
  <c r="N13" i="5"/>
  <c r="N12" i="5" s="1"/>
  <c r="N11" i="5" s="1"/>
  <c r="L13" i="5"/>
  <c r="L12" i="5" s="1"/>
  <c r="L36" i="5"/>
  <c r="L35" i="5" s="1"/>
  <c r="L34" i="5" s="1"/>
  <c r="L58" i="10"/>
  <c r="L57" i="10" s="1"/>
  <c r="L56" i="10" s="1"/>
  <c r="L31" i="10"/>
  <c r="L30" i="10" s="1"/>
  <c r="L29" i="10" s="1"/>
  <c r="L28" i="10" s="1"/>
  <c r="L21" i="10"/>
  <c r="L20" i="10" s="1"/>
  <c r="L19" i="10" s="1"/>
  <c r="L13" i="10"/>
  <c r="L12" i="10" s="1"/>
  <c r="I25" i="8"/>
  <c r="I24" i="8" s="1"/>
  <c r="I23" i="8" s="1"/>
  <c r="I13" i="8"/>
  <c r="I12" i="8" s="1"/>
  <c r="L25" i="8"/>
  <c r="L24" i="8" s="1"/>
  <c r="L23" i="8" s="1"/>
  <c r="L13" i="8"/>
  <c r="L12" i="8" s="1"/>
  <c r="K28" i="7"/>
  <c r="K36" i="6"/>
  <c r="K35" i="6" s="1"/>
  <c r="K34" i="6" s="1"/>
  <c r="K26" i="6"/>
  <c r="K25" i="6" s="1"/>
  <c r="K20" i="6" s="1"/>
  <c r="K13" i="6"/>
  <c r="K12" i="6" s="1"/>
  <c r="K11" i="6" s="1"/>
  <c r="I13" i="6"/>
  <c r="I12" i="6" s="1"/>
  <c r="I11" i="6" s="1"/>
  <c r="L36" i="6"/>
  <c r="L35" i="6" s="1"/>
  <c r="L34" i="6" s="1"/>
  <c r="G46" i="11"/>
  <c r="G45" i="11" s="1"/>
  <c r="K24" i="7"/>
  <c r="K23" i="7" s="1"/>
  <c r="H36" i="6"/>
  <c r="H35" i="6" s="1"/>
  <c r="H34" i="6" s="1"/>
  <c r="J13" i="5"/>
  <c r="J12" i="5" s="1"/>
  <c r="J11" i="5" s="1"/>
  <c r="I13" i="12"/>
  <c r="I12" i="12" s="1"/>
  <c r="I11" i="12" s="1"/>
  <c r="J24" i="12"/>
  <c r="J23" i="12" s="1"/>
  <c r="J22" i="12" s="1"/>
  <c r="H22" i="6"/>
  <c r="H21" i="6" s="1"/>
  <c r="H9" i="6" s="1"/>
  <c r="N13" i="10"/>
  <c r="N12" i="10" s="1"/>
  <c r="N11" i="10" s="1"/>
  <c r="N13" i="9"/>
  <c r="N12" i="9" s="1"/>
  <c r="N8" i="9" s="1"/>
  <c r="J438" i="15"/>
  <c r="J110" i="1"/>
  <c r="J166" i="1"/>
  <c r="M115" i="1"/>
  <c r="M69" i="1"/>
  <c r="I110" i="1"/>
  <c r="I108" i="1" s="1"/>
  <c r="K110" i="1"/>
  <c r="K115" i="1"/>
  <c r="N115" i="1"/>
  <c r="O115" i="1"/>
  <c r="I132" i="1"/>
  <c r="I166" i="1" s="1"/>
  <c r="M132" i="1"/>
  <c r="M166" i="1" s="1"/>
  <c r="G17" i="11"/>
  <c r="K13" i="9"/>
  <c r="K12" i="9" s="1"/>
  <c r="L13" i="9"/>
  <c r="L12" i="9" s="1"/>
  <c r="L29" i="7"/>
  <c r="L28" i="7" s="1"/>
  <c r="G20" i="5"/>
  <c r="G13" i="5" s="1"/>
  <c r="M13" i="5"/>
  <c r="M12" i="5" s="1"/>
  <c r="G16" i="3"/>
  <c r="N31" i="10"/>
  <c r="N30" i="10" s="1"/>
  <c r="N29" i="10" s="1"/>
  <c r="N36" i="6"/>
  <c r="N35" i="6" s="1"/>
  <c r="N34" i="6" s="1"/>
  <c r="N36" i="5"/>
  <c r="N35" i="5" s="1"/>
  <c r="N34" i="5" s="1"/>
  <c r="K25" i="8"/>
  <c r="K24" i="8" s="1"/>
  <c r="I19" i="8"/>
  <c r="I18" i="8" s="1"/>
  <c r="G74" i="10"/>
  <c r="G72" i="10" s="1"/>
  <c r="M72" i="10"/>
  <c r="M71" i="10" s="1"/>
  <c r="M70" i="10" s="1"/>
  <c r="G59" i="3"/>
  <c r="G56" i="3" s="1"/>
  <c r="M56" i="3"/>
  <c r="M55" i="3" s="1"/>
  <c r="M54" i="3" s="1"/>
  <c r="H29" i="7"/>
  <c r="H28" i="7" s="1"/>
  <c r="H36" i="13"/>
  <c r="J30" i="5"/>
  <c r="G36" i="6"/>
  <c r="G35" i="6" s="1"/>
  <c r="J37" i="3"/>
  <c r="J36" i="3" s="1"/>
  <c r="J35" i="3" s="1"/>
  <c r="M5" i="1"/>
  <c r="K27" i="1"/>
  <c r="J27" i="1"/>
  <c r="I69" i="1"/>
  <c r="L110" i="1"/>
  <c r="O69" i="1"/>
  <c r="J115" i="1"/>
  <c r="K166" i="1"/>
  <c r="J5" i="1"/>
  <c r="N5" i="1"/>
  <c r="K5" i="1"/>
  <c r="I27" i="1"/>
  <c r="N69" i="1"/>
  <c r="L132" i="1"/>
  <c r="L166" i="1" s="1"/>
  <c r="O132" i="1"/>
  <c r="O166" i="1" s="1"/>
  <c r="M157" i="1"/>
  <c r="M167" i="1" s="1"/>
  <c r="L115" i="1"/>
  <c r="K9" i="8"/>
  <c r="I65" i="10"/>
  <c r="I66" i="10"/>
  <c r="G41" i="3"/>
  <c r="J810" i="15"/>
  <c r="J809" i="15" l="1"/>
  <c r="G12" i="13"/>
  <c r="G38" i="13" s="1"/>
  <c r="G40" i="13" s="1"/>
  <c r="J808" i="15"/>
  <c r="G11" i="13"/>
  <c r="I808" i="15"/>
  <c r="F11" i="13"/>
  <c r="H11" i="11"/>
  <c r="N56" i="10"/>
  <c r="N8" i="10"/>
  <c r="M56" i="10"/>
  <c r="M8" i="10"/>
  <c r="M7" i="10" s="1"/>
  <c r="L11" i="10"/>
  <c r="L8" i="10"/>
  <c r="L2" i="10" s="1"/>
  <c r="K11" i="10"/>
  <c r="K8" i="10"/>
  <c r="J8" i="10"/>
  <c r="J7" i="10" s="1"/>
  <c r="J29" i="10"/>
  <c r="J28" i="10" s="1"/>
  <c r="J11" i="10"/>
  <c r="L9" i="7"/>
  <c r="I8" i="7"/>
  <c r="I7" i="7" s="1"/>
  <c r="L11" i="6"/>
  <c r="L8" i="6"/>
  <c r="N11" i="4"/>
  <c r="H40" i="3"/>
  <c r="L13" i="11"/>
  <c r="L12" i="11" s="1"/>
  <c r="R118" i="2"/>
  <c r="R281" i="2" s="1"/>
  <c r="M108" i="1"/>
  <c r="M165" i="1" s="1"/>
  <c r="F809" i="15"/>
  <c r="L26" i="11"/>
  <c r="L25" i="11" s="1"/>
  <c r="H804" i="15"/>
  <c r="G437" i="15"/>
  <c r="J40" i="3"/>
  <c r="K437" i="15"/>
  <c r="E437" i="15"/>
  <c r="J26" i="11"/>
  <c r="J25" i="11" s="1"/>
  <c r="J24" i="11" s="1"/>
  <c r="J13" i="11"/>
  <c r="J12" i="11" s="1"/>
  <c r="F382" i="15"/>
  <c r="F577" i="15" s="1"/>
  <c r="F622" i="15" s="1"/>
  <c r="F801" i="15" s="1"/>
  <c r="D17" i="13" s="1"/>
  <c r="I17" i="11"/>
  <c r="I13" i="11" s="1"/>
  <c r="I12" i="11" s="1"/>
  <c r="E382" i="15"/>
  <c r="O108" i="1"/>
  <c r="O165" i="1" s="1"/>
  <c r="L118" i="2"/>
  <c r="L281" i="2" s="1"/>
  <c r="F807" i="15" s="1"/>
  <c r="F165" i="15"/>
  <c r="D34" i="13"/>
  <c r="D36" i="13" s="1"/>
  <c r="J108" i="1"/>
  <c r="J165" i="1" s="1"/>
  <c r="I40" i="3"/>
  <c r="I23" i="12"/>
  <c r="I8" i="12" s="1"/>
  <c r="I7" i="12" s="1"/>
  <c r="G23" i="12"/>
  <c r="H11" i="9"/>
  <c r="K40" i="3"/>
  <c r="M14" i="3"/>
  <c r="M13" i="3" s="1"/>
  <c r="M12" i="3" s="1"/>
  <c r="M11" i="3" s="1"/>
  <c r="K23" i="12"/>
  <c r="K8" i="12" s="1"/>
  <c r="K7" i="12" s="1"/>
  <c r="M40" i="3"/>
  <c r="J8" i="4"/>
  <c r="J7" i="4" s="1"/>
  <c r="G11" i="12"/>
  <c r="G7" i="12" s="1"/>
  <c r="M36" i="5"/>
  <c r="M35" i="5" s="1"/>
  <c r="M34" i="5" s="1"/>
  <c r="K11" i="3"/>
  <c r="H11" i="7"/>
  <c r="J11" i="8"/>
  <c r="I26" i="11"/>
  <c r="I25" i="11" s="1"/>
  <c r="I24" i="11" s="1"/>
  <c r="K11" i="8"/>
  <c r="M8" i="8"/>
  <c r="M2" i="8" s="1"/>
  <c r="I11" i="9"/>
  <c r="G30" i="10"/>
  <c r="N8" i="8"/>
  <c r="N2" i="8" s="1"/>
  <c r="G8" i="3"/>
  <c r="G2" i="3" s="1"/>
  <c r="N15" i="11"/>
  <c r="N13" i="11" s="1"/>
  <c r="N12" i="11" s="1"/>
  <c r="N11" i="11" s="1"/>
  <c r="I382" i="15"/>
  <c r="M13" i="11"/>
  <c r="M12" i="11" s="1"/>
  <c r="M11" i="11" s="1"/>
  <c r="G13" i="11"/>
  <c r="G11" i="11" s="1"/>
  <c r="G7" i="11" s="1"/>
  <c r="J382" i="15"/>
  <c r="K382" i="15"/>
  <c r="K577" i="15" s="1"/>
  <c r="K622" i="15" s="1"/>
  <c r="M28" i="11"/>
  <c r="M26" i="11" s="1"/>
  <c r="M25" i="11" s="1"/>
  <c r="M24" i="11" s="1"/>
  <c r="N28" i="11"/>
  <c r="N26" i="11" s="1"/>
  <c r="N25" i="11" s="1"/>
  <c r="L437" i="15"/>
  <c r="M8" i="6"/>
  <c r="M2" i="6" s="1"/>
  <c r="L40" i="3"/>
  <c r="L8" i="7"/>
  <c r="L7" i="7" s="1"/>
  <c r="O118" i="2"/>
  <c r="O281" i="2" s="1"/>
  <c r="I807" i="15" s="1"/>
  <c r="I811" i="15" s="1"/>
  <c r="N118" i="2"/>
  <c r="N281" i="2" s="1"/>
  <c r="N285" i="2" s="1"/>
  <c r="K9" i="7"/>
  <c r="F35" i="13"/>
  <c r="G802" i="15"/>
  <c r="K25" i="11"/>
  <c r="K24" i="11" s="1"/>
  <c r="G383" i="15"/>
  <c r="G382" i="15" s="1"/>
  <c r="K7" i="10"/>
  <c r="H12" i="13"/>
  <c r="H38" i="13" s="1"/>
  <c r="H40" i="13" s="1"/>
  <c r="K118" i="2"/>
  <c r="K281" i="2" s="1"/>
  <c r="I3" i="1"/>
  <c r="I164" i="1" s="1"/>
  <c r="P118" i="2"/>
  <c r="P281" i="2" s="1"/>
  <c r="J807" i="15" s="1"/>
  <c r="J811" i="15" s="1"/>
  <c r="J3" i="1"/>
  <c r="J164" i="1" s="1"/>
  <c r="G809" i="15"/>
  <c r="F38" i="13"/>
  <c r="F40" i="13" s="1"/>
  <c r="N284" i="2"/>
  <c r="H810" i="15" s="1"/>
  <c r="D38" i="13"/>
  <c r="D40" i="13" s="1"/>
  <c r="E809" i="15"/>
  <c r="R284" i="2"/>
  <c r="I13" i="13"/>
  <c r="L810" i="15"/>
  <c r="K108" i="1"/>
  <c r="K165" i="1" s="1"/>
  <c r="H8" i="7"/>
  <c r="H7" i="7" s="1"/>
  <c r="L8" i="8"/>
  <c r="L7" i="8" s="1"/>
  <c r="N12" i="3"/>
  <c r="N11" i="3" s="1"/>
  <c r="N8" i="3"/>
  <c r="N2" i="3" s="1"/>
  <c r="K8" i="3"/>
  <c r="K7" i="3" s="1"/>
  <c r="N40" i="3"/>
  <c r="J11" i="9"/>
  <c r="I8" i="5"/>
  <c r="I7" i="5" s="1"/>
  <c r="N11" i="9"/>
  <c r="H8" i="6"/>
  <c r="H7" i="6" s="1"/>
  <c r="I437" i="15"/>
  <c r="H622" i="15"/>
  <c r="H801" i="15" s="1"/>
  <c r="J8" i="12"/>
  <c r="J7" i="12" s="1"/>
  <c r="K8" i="7"/>
  <c r="I8" i="4"/>
  <c r="I7" i="4" s="1"/>
  <c r="H26" i="11"/>
  <c r="H25" i="11" s="1"/>
  <c r="H24" i="11" s="1"/>
  <c r="D438" i="15"/>
  <c r="D437" i="15" s="1"/>
  <c r="D577" i="15" s="1"/>
  <c r="D622" i="15" s="1"/>
  <c r="D801" i="15" s="1"/>
  <c r="L577" i="15"/>
  <c r="L622" i="15" s="1"/>
  <c r="L801" i="15" s="1"/>
  <c r="I8" i="6"/>
  <c r="I7" i="6" s="1"/>
  <c r="I11" i="3"/>
  <c r="L8" i="3"/>
  <c r="L7" i="3" s="1"/>
  <c r="L8" i="5"/>
  <c r="L2" i="5" s="1"/>
  <c r="M8" i="7"/>
  <c r="M7" i="7" s="1"/>
  <c r="L8" i="4"/>
  <c r="L2" i="4" s="1"/>
  <c r="J437" i="15"/>
  <c r="C42" i="13"/>
  <c r="D811" i="15"/>
  <c r="I165" i="1"/>
  <c r="H10" i="13"/>
  <c r="Q285" i="2"/>
  <c r="K807" i="15"/>
  <c r="K811" i="15" s="1"/>
  <c r="G807" i="15"/>
  <c r="M285" i="2"/>
  <c r="H809" i="15"/>
  <c r="L285" i="2"/>
  <c r="N108" i="1"/>
  <c r="N165" i="1" s="1"/>
  <c r="L807" i="15"/>
  <c r="M3" i="1"/>
  <c r="M164" i="1" s="1"/>
  <c r="E34" i="13"/>
  <c r="E36" i="13" s="1"/>
  <c r="F808" i="15"/>
  <c r="E810" i="15"/>
  <c r="K284" i="2"/>
  <c r="O3" i="1"/>
  <c r="O164" i="1" s="1"/>
  <c r="O168" i="1" s="1"/>
  <c r="I7" i="10"/>
  <c r="M2" i="9"/>
  <c r="M1" i="9" s="1"/>
  <c r="H8" i="8"/>
  <c r="H7" i="8" s="1"/>
  <c r="J8" i="3"/>
  <c r="N2" i="10"/>
  <c r="K8" i="6"/>
  <c r="K7" i="6" s="1"/>
  <c r="I35" i="12"/>
  <c r="J8" i="8"/>
  <c r="J7" i="8" s="1"/>
  <c r="N8" i="7"/>
  <c r="L11" i="5"/>
  <c r="J11" i="3"/>
  <c r="K11" i="4"/>
  <c r="G29" i="3"/>
  <c r="L11" i="8"/>
  <c r="K8" i="5"/>
  <c r="K7" i="5" s="1"/>
  <c r="J8" i="6"/>
  <c r="J7" i="6" s="1"/>
  <c r="I8" i="3"/>
  <c r="I7" i="3" s="1"/>
  <c r="G8" i="12"/>
  <c r="G2" i="12" s="1"/>
  <c r="H11" i="8"/>
  <c r="H7" i="10"/>
  <c r="M11" i="9"/>
  <c r="H20" i="6"/>
  <c r="N22" i="12"/>
  <c r="N23" i="12"/>
  <c r="N8" i="12" s="1"/>
  <c r="N7" i="12" s="1"/>
  <c r="L23" i="12"/>
  <c r="L8" i="12" s="1"/>
  <c r="L7" i="12" s="1"/>
  <c r="L22" i="12"/>
  <c r="M22" i="12"/>
  <c r="M23" i="12"/>
  <c r="M8" i="12" s="1"/>
  <c r="M7" i="12" s="1"/>
  <c r="H27" i="3"/>
  <c r="H11" i="3" s="1"/>
  <c r="H28" i="3"/>
  <c r="H7" i="3" s="1"/>
  <c r="H11" i="5"/>
  <c r="H8" i="5"/>
  <c r="H7" i="5" s="1"/>
  <c r="H11" i="4"/>
  <c r="H8" i="4"/>
  <c r="H7" i="4" s="1"/>
  <c r="M11" i="4"/>
  <c r="M8" i="4"/>
  <c r="I8" i="8"/>
  <c r="H11" i="12"/>
  <c r="H8" i="12"/>
  <c r="H7" i="12" s="1"/>
  <c r="L11" i="3"/>
  <c r="K3" i="1"/>
  <c r="K164" i="1" s="1"/>
  <c r="L108" i="1"/>
  <c r="L165" i="1" s="1"/>
  <c r="L3" i="1"/>
  <c r="L164" i="1" s="1"/>
  <c r="G71" i="10"/>
  <c r="G70" i="10"/>
  <c r="J34" i="5"/>
  <c r="J8" i="5"/>
  <c r="J7" i="5" s="1"/>
  <c r="N8" i="5"/>
  <c r="I9" i="8"/>
  <c r="I11" i="8"/>
  <c r="G34" i="5"/>
  <c r="G35" i="5"/>
  <c r="N7" i="9"/>
  <c r="N2" i="9"/>
  <c r="G55" i="3"/>
  <c r="G54" i="3"/>
  <c r="K23" i="8"/>
  <c r="K8" i="8"/>
  <c r="K7" i="8" s="1"/>
  <c r="M8" i="5"/>
  <c r="M11" i="5"/>
  <c r="L8" i="9"/>
  <c r="L11" i="9"/>
  <c r="G11" i="5"/>
  <c r="G12" i="5"/>
  <c r="K11" i="9"/>
  <c r="K8" i="9"/>
  <c r="K7" i="9" s="1"/>
  <c r="N8" i="6"/>
  <c r="J8" i="7"/>
  <c r="J7" i="7" s="1"/>
  <c r="N3" i="1"/>
  <c r="N164" i="1" s="1"/>
  <c r="L2" i="8"/>
  <c r="N7" i="4"/>
  <c r="N2" i="4"/>
  <c r="N7" i="8"/>
  <c r="M7" i="8"/>
  <c r="G14" i="13" l="1"/>
  <c r="G34" i="13"/>
  <c r="G36" i="13" s="1"/>
  <c r="F36" i="13"/>
  <c r="F14" i="13"/>
  <c r="F34" i="13"/>
  <c r="L24" i="11"/>
  <c r="L8" i="11"/>
  <c r="H8" i="11"/>
  <c r="J11" i="11"/>
  <c r="J8" i="11"/>
  <c r="J7" i="11" s="1"/>
  <c r="L11" i="11"/>
  <c r="I11" i="11"/>
  <c r="I8" i="11"/>
  <c r="I7" i="11" s="1"/>
  <c r="K7" i="7"/>
  <c r="J7" i="3"/>
  <c r="M168" i="1"/>
  <c r="L2" i="12"/>
  <c r="L1" i="12" s="1"/>
  <c r="G1" i="12"/>
  <c r="I168" i="1"/>
  <c r="K13" i="11"/>
  <c r="K12" i="11" s="1"/>
  <c r="M8" i="3"/>
  <c r="M7" i="3" s="1"/>
  <c r="L7" i="10"/>
  <c r="L2" i="7"/>
  <c r="L1" i="7" s="1"/>
  <c r="H7" i="11"/>
  <c r="M2" i="7"/>
  <c r="M1" i="7" s="1"/>
  <c r="F804" i="15"/>
  <c r="E577" i="15"/>
  <c r="E622" i="15" s="1"/>
  <c r="E801" i="15" s="1"/>
  <c r="E804" i="15"/>
  <c r="K285" i="2"/>
  <c r="K168" i="1"/>
  <c r="G811" i="15"/>
  <c r="J168" i="1"/>
  <c r="J577" i="15"/>
  <c r="J622" i="15" s="1"/>
  <c r="J801" i="15" s="1"/>
  <c r="G17" i="13" s="1"/>
  <c r="G7" i="5"/>
  <c r="L7" i="4"/>
  <c r="L1" i="4" s="1"/>
  <c r="M2" i="12"/>
  <c r="M1" i="12" s="1"/>
  <c r="M2" i="10"/>
  <c r="M1" i="10" s="1"/>
  <c r="N7" i="3"/>
  <c r="N8" i="11"/>
  <c r="N7" i="11" s="1"/>
  <c r="G12" i="11"/>
  <c r="G8" i="11" s="1"/>
  <c r="G2" i="11" s="1"/>
  <c r="G1" i="11" s="1"/>
  <c r="P285" i="2"/>
  <c r="K801" i="15"/>
  <c r="K805" i="15" s="1"/>
  <c r="K813" i="15" s="1"/>
  <c r="N24" i="11"/>
  <c r="M8" i="11"/>
  <c r="M2" i="11" s="1"/>
  <c r="O285" i="2"/>
  <c r="N7" i="10"/>
  <c r="N1" i="10" s="1"/>
  <c r="M7" i="6"/>
  <c r="M1" i="6" s="1"/>
  <c r="L7" i="5"/>
  <c r="L1" i="5" s="1"/>
  <c r="L2" i="3"/>
  <c r="H807" i="15"/>
  <c r="H811" i="15" s="1"/>
  <c r="G804" i="15"/>
  <c r="G577" i="15"/>
  <c r="G622" i="15" s="1"/>
  <c r="G801" i="15" s="1"/>
  <c r="E807" i="15"/>
  <c r="E811" i="15" s="1"/>
  <c r="N168" i="1"/>
  <c r="L811" i="15"/>
  <c r="I577" i="15"/>
  <c r="I622" i="15" s="1"/>
  <c r="I801" i="15" s="1"/>
  <c r="F17" i="13" s="1"/>
  <c r="I804" i="15"/>
  <c r="G8" i="5"/>
  <c r="G2" i="5" s="1"/>
  <c r="H805" i="15"/>
  <c r="I17" i="13"/>
  <c r="L805" i="15"/>
  <c r="D804" i="15"/>
  <c r="D805" i="15" s="1"/>
  <c r="D813" i="15" s="1"/>
  <c r="F805" i="15"/>
  <c r="L2" i="6"/>
  <c r="L7" i="6"/>
  <c r="J804" i="15"/>
  <c r="F811" i="15"/>
  <c r="R285" i="2"/>
  <c r="I10" i="13"/>
  <c r="H14" i="13"/>
  <c r="L168" i="1"/>
  <c r="N2" i="12"/>
  <c r="N1" i="12" s="1"/>
  <c r="M2" i="3"/>
  <c r="N2" i="7"/>
  <c r="N7" i="7"/>
  <c r="I7" i="8"/>
  <c r="G28" i="3"/>
  <c r="G27" i="3"/>
  <c r="L1" i="10"/>
  <c r="L1" i="8"/>
  <c r="M7" i="4"/>
  <c r="M2" i="4"/>
  <c r="N1" i="9"/>
  <c r="N2" i="5"/>
  <c r="N7" i="5"/>
  <c r="N1" i="8"/>
  <c r="L7" i="9"/>
  <c r="L2" i="9"/>
  <c r="N2" i="6"/>
  <c r="N7" i="6"/>
  <c r="M7" i="5"/>
  <c r="M2" i="5"/>
  <c r="M1" i="8"/>
  <c r="N1" i="4"/>
  <c r="K11" i="11" l="1"/>
  <c r="K8" i="11"/>
  <c r="K7" i="11" s="1"/>
  <c r="L2" i="11"/>
  <c r="L7" i="11"/>
  <c r="F43" i="13"/>
  <c r="E17" i="13"/>
  <c r="G1" i="5"/>
  <c r="E805" i="15"/>
  <c r="E813" i="15" s="1"/>
  <c r="D43" i="13"/>
  <c r="J805" i="15"/>
  <c r="J813" i="15" s="1"/>
  <c r="H17" i="13"/>
  <c r="H43" i="13" s="1"/>
  <c r="N2" i="11"/>
  <c r="N1" i="11" s="1"/>
  <c r="M7" i="11"/>
  <c r="M1" i="11" s="1"/>
  <c r="L813" i="15"/>
  <c r="G805" i="15"/>
  <c r="G813" i="15" s="1"/>
  <c r="F32" i="13"/>
  <c r="F813" i="15"/>
  <c r="D32" i="13"/>
  <c r="D42" i="13"/>
  <c r="G25" i="3"/>
  <c r="G24" i="3" s="1"/>
  <c r="G14" i="3" s="1"/>
  <c r="G13" i="3" s="1"/>
  <c r="N1" i="7"/>
  <c r="I805" i="15"/>
  <c r="I813" i="15" s="1"/>
  <c r="L1" i="6"/>
  <c r="I43" i="13"/>
  <c r="G32" i="13"/>
  <c r="G43" i="13"/>
  <c r="H813" i="15"/>
  <c r="G42" i="13"/>
  <c r="E42" i="13"/>
  <c r="I30" i="13"/>
  <c r="I14" i="13"/>
  <c r="F42" i="13"/>
  <c r="H42" i="13"/>
  <c r="M1" i="5"/>
  <c r="N1" i="5"/>
  <c r="M1" i="4"/>
  <c r="N1" i="6"/>
  <c r="L1" i="9"/>
  <c r="F23" i="13" l="1"/>
  <c r="F44" i="13"/>
  <c r="L1" i="11"/>
  <c r="C32" i="13"/>
  <c r="E32" i="13"/>
  <c r="D44" i="13"/>
  <c r="D23" i="13"/>
  <c r="H23" i="13"/>
  <c r="H44" i="13"/>
  <c r="G23" i="13"/>
  <c r="I32" i="13"/>
  <c r="G44" i="13"/>
  <c r="I23" i="13"/>
  <c r="I42" i="13"/>
  <c r="I44" i="13" s="1"/>
  <c r="C43" i="13" l="1"/>
  <c r="C44" i="13" s="1"/>
  <c r="C23" i="13"/>
  <c r="E43" i="13"/>
  <c r="E44" i="13" s="1"/>
  <c r="E23" i="13"/>
</calcChain>
</file>

<file path=xl/sharedStrings.xml><?xml version="1.0" encoding="utf-8"?>
<sst xmlns="http://schemas.openxmlformats.org/spreadsheetml/2006/main" count="2623" uniqueCount="1015">
  <si>
    <t>P  R  Í  J  M  O V  Á     Č  A S  Ť</t>
  </si>
  <si>
    <t>Bežné príjmy</t>
  </si>
  <si>
    <t>1. Daňové príjmy</t>
  </si>
  <si>
    <t>1.1</t>
  </si>
  <si>
    <t>Výnos dane z príjmov poukázaný územnej samospráve</t>
  </si>
  <si>
    <t>v zmysle zákona č. 564/2004 Z.z. o rozpočtovom určení výnosu dane z príjmov územnej samospráve a o zmene a doplnení niektorých zákonov v znení neskorších predpisov</t>
  </si>
  <si>
    <t>1.2</t>
  </si>
  <si>
    <t>Daň z nehnuteľností</t>
  </si>
  <si>
    <t>Daň z nehnuteľnosti upravuje zákon č.582/2004 o miestnych daniach a poplatku za komunálne odpady a drobné stavebné odpady v znení neskorších predpisov. Daň z nehnuteľností sa člení na daň z pozemkov, daň zo stavieb a daň z bytov a nebytových priestorov. Pre vyrubenie dane je rozhodujúci stav k 1.januáru zdaňovacieho obdobia. Na zmeny skutočností rozhodujúcich pre daňovú povinnosť, ktoré nastanú v priebehu zdaňovacieho obdobia sa neprihliada, ak zákon neustanovuje inak.</t>
  </si>
  <si>
    <t>1.3</t>
  </si>
  <si>
    <t>Daň za užívanie verejného priestranstva</t>
  </si>
  <si>
    <t>Predmetom dane za užívanie verejného priestranstva je v zmysle zákona č.582/2004 Z.z. o miestnych daniach a poplatku za komunálne odpady a drobné stavebné odpady v znení neskorších predpisov osobitné užívanie verejného priestranstva (umiestnenie zariadenia na poskytovanie služieb, stavebného zariadenia, predajného zariadenia,  skládky, trvalé parkovanie vozidla).</t>
  </si>
  <si>
    <t>1.4</t>
  </si>
  <si>
    <t>Daň za psa</t>
  </si>
  <si>
    <t>Predmetom dane za psa v súlade so zákonom č. 582/2004 Z.z. o miestnych daniach a poplatku za komunálne odpady a drobné stavebné odpady je pes starší ako 6 mesiacov chovaný fyzickou osobou alebo právnickou osobou.</t>
  </si>
  <si>
    <t>1.5</t>
  </si>
  <si>
    <t>Daň za predajné automaty</t>
  </si>
  <si>
    <t xml:space="preserve">Daň za predajné automaty upravuje zákon č. 582/2004 Z.z. o miestnych daniach a poplatku za komunálne odpady a drobné stavebné odpady. </t>
  </si>
  <si>
    <t>1.6</t>
  </si>
  <si>
    <t>Daň za umiestnenie jadrového zariadenia</t>
  </si>
  <si>
    <t>1.7</t>
  </si>
  <si>
    <t>Poplatok za komunálne odpady a drobné stavebné odpady</t>
  </si>
  <si>
    <t xml:space="preserve">Miestny poplatok za komunálne odpady a drobné stavebné odpady sa v zmysle zákona č.582/2004 Z.z. o miestnych daniach a poplatku za komunálne a drobné stavebné odpady v znení neskorších predpisov sa platí za komunálne odpady a drobné stavebné odpady, ktoré vznikajú na území obce. </t>
  </si>
  <si>
    <t>2. Nedaňové príjmy</t>
  </si>
  <si>
    <t>2.1</t>
  </si>
  <si>
    <t>Príjmy z prenajatých pozemkov</t>
  </si>
  <si>
    <t>príjem vyplýva z uzatvorených platných nájomných zmlúv.</t>
  </si>
  <si>
    <t>2.2</t>
  </si>
  <si>
    <t>Príjmy z prenajatých budov</t>
  </si>
  <si>
    <t xml:space="preserve">príjem z uzatvorených platných nájomných zmlúv na prenájom budov </t>
  </si>
  <si>
    <t>2.3</t>
  </si>
  <si>
    <t>Príjmy z prenajatých strojov a zariadení</t>
  </si>
  <si>
    <t>Príjem poplatku za čistenie odpadu na ČOV</t>
  </si>
  <si>
    <t>2.4</t>
  </si>
  <si>
    <t>Ostatné administratívne poplatky</t>
  </si>
  <si>
    <t>administratívne poplatky – správne poplatky vyberané podľa zákona č. 145/1995 Z.z. o správnych poplatkoch v znení neskorších predpisov – vyhotovenie a osvedčenie matričných dokladov, vyhotovenie odpisu, výpisu z úradných kníh, správny poplatok z reklamy, za vydanie rybárskych  lístkov, žiadosť o povolenie stavby a o dodatočné povolenie stavby a pod.</t>
  </si>
  <si>
    <t>2.5</t>
  </si>
  <si>
    <t>Pokuty a penále za porušenie predpisov</t>
  </si>
  <si>
    <t>pokuty za priestupky, zmluvné pokuty, za porušenie predpisov stavebného zákona, v oblasti odpadového hospodárstva, za porušenie cestného zákona a pod.</t>
  </si>
  <si>
    <t>2.6</t>
  </si>
  <si>
    <t>Príjmy za služby hospodárskej činnosti obce</t>
  </si>
  <si>
    <t>2.7</t>
  </si>
  <si>
    <t>Predaj výrobkov, tovarov a služieb</t>
  </si>
  <si>
    <t>Prenájom kultúrneho domu, multifunkčného ihriska</t>
  </si>
  <si>
    <t>2.8</t>
  </si>
  <si>
    <t>Úroky z vkladov</t>
  </si>
  <si>
    <t>2.9</t>
  </si>
  <si>
    <t>Školské zariadenia</t>
  </si>
  <si>
    <t>poplatky za materské školy, školské kluby detí, za stravné v zariadení školského stravovania</t>
  </si>
  <si>
    <t>2.10</t>
  </si>
  <si>
    <t>Stravné</t>
  </si>
  <si>
    <t>príspevky zamestnancov za stravovanie</t>
  </si>
  <si>
    <t>2.11</t>
  </si>
  <si>
    <t>Ostatné</t>
  </si>
  <si>
    <t>predmetné príjmy zahŕňajú predovšetkým príjmy z dobropisov, vratiek zo zúčtovania za predchádzajúci rok, dividendy, výťažky lotérií</t>
  </si>
  <si>
    <t>3. Granty a transfery</t>
  </si>
  <si>
    <t>3.1</t>
  </si>
  <si>
    <t>Dotácia na základné vzdelanie s bežnou starostlivosťou</t>
  </si>
  <si>
    <t>3.2</t>
  </si>
  <si>
    <t>Dotácia na predškolskú výchovu</t>
  </si>
  <si>
    <t>3.3</t>
  </si>
  <si>
    <t>Dotácia na matričnú činnosť</t>
  </si>
  <si>
    <t>3.4</t>
  </si>
  <si>
    <t>Dotácia na podporu zamestnanosti (aktivačná činnosť)</t>
  </si>
  <si>
    <t>3.5</t>
  </si>
  <si>
    <t>Dotácia na deti zo sociálne znevýhodneného prostredia</t>
  </si>
  <si>
    <t>3.6</t>
  </si>
  <si>
    <t>Dotácia na dopravné</t>
  </si>
  <si>
    <t>3.7</t>
  </si>
  <si>
    <t>Dotácia na vzdelávacie poukazy</t>
  </si>
  <si>
    <t>3.8</t>
  </si>
  <si>
    <t>Dotácia na školské potreby</t>
  </si>
  <si>
    <t>3.9</t>
  </si>
  <si>
    <t>3.10</t>
  </si>
  <si>
    <t>Transfer na deti v hmotnej núdzi (stravovanie)</t>
  </si>
  <si>
    <t>3.11</t>
  </si>
  <si>
    <t>Dotácia z NSK</t>
  </si>
  <si>
    <t>3.12</t>
  </si>
  <si>
    <t>3.13</t>
  </si>
  <si>
    <t>Kapitálové príjmy</t>
  </si>
  <si>
    <t>1. Nedaňové príjmy</t>
  </si>
  <si>
    <t>2. Granty a transfery</t>
  </si>
  <si>
    <t>Zateplenie MŠ</t>
  </si>
  <si>
    <t>Leader</t>
  </si>
  <si>
    <t>Rekonštrukcia komunitného centra</t>
  </si>
  <si>
    <t>Príjmové finančné operácie</t>
  </si>
  <si>
    <t>Bankové úvery dlhodobé</t>
  </si>
  <si>
    <t>Rekapitulácia</t>
  </si>
  <si>
    <t>Celkové príjmy</t>
  </si>
  <si>
    <t>Príjmy rozpočtu obce Tekovské Lužany</t>
  </si>
  <si>
    <t>daňové príjmy</t>
  </si>
  <si>
    <t>Daňové príjmy - dane z príjmov, dane z majetku</t>
  </si>
  <si>
    <t>003.</t>
  </si>
  <si>
    <t>Výnos dane z príjmov poukázaný samospráve</t>
  </si>
  <si>
    <t>001.</t>
  </si>
  <si>
    <t>Daň z pozemkov</t>
  </si>
  <si>
    <t>v tom: Daň z pozemkov-minulé roky</t>
  </si>
  <si>
    <t>002.</t>
  </si>
  <si>
    <t>Daň zo stavieb</t>
  </si>
  <si>
    <t>v tom: Daň zo stavieb-minulé roky</t>
  </si>
  <si>
    <t>Daň z bytov</t>
  </si>
  <si>
    <t>Daňové príjmy - dane za špecifické služby</t>
  </si>
  <si>
    <t>012.</t>
  </si>
  <si>
    <t>013.</t>
  </si>
  <si>
    <t xml:space="preserve">Daň za komunálny odpad </t>
  </si>
  <si>
    <t>014.</t>
  </si>
  <si>
    <t>Daň za umiestnenie jadrového zar.</t>
  </si>
  <si>
    <t>Daňové príjmy celkom</t>
  </si>
  <si>
    <t>nedaňové príjmy</t>
  </si>
  <si>
    <t>Nedaňové príjmy - z podnikania a z vlastníctva majetku</t>
  </si>
  <si>
    <t>Dividendy</t>
  </si>
  <si>
    <t>004.</t>
  </si>
  <si>
    <t>Príjmy z pren. Strojov a zar. (ČOV)</t>
  </si>
  <si>
    <t>Nedaňové príjmy - administratívne poplatky a iné platby</t>
  </si>
  <si>
    <t>Správne poplatky</t>
  </si>
  <si>
    <t>Za porušenie predpisov</t>
  </si>
  <si>
    <t>Predaj výrobkov, tovarov a služieb-multif.ihr.</t>
  </si>
  <si>
    <t>Za MŠ, školský klub detí</t>
  </si>
  <si>
    <t>Za stravné /MŠ/</t>
  </si>
  <si>
    <t>Za stravné /ZŠ/</t>
  </si>
  <si>
    <t>005.</t>
  </si>
  <si>
    <t>za znečisťovanie ovzdušia</t>
  </si>
  <si>
    <t>Iné nedaňové príjmy</t>
  </si>
  <si>
    <t>Úroky z úverov a vkladov</t>
  </si>
  <si>
    <t>Úroky z vkladov ZŠ, MŠ</t>
  </si>
  <si>
    <t>006.</t>
  </si>
  <si>
    <t>Z náhrad z poistného plnenie</t>
  </si>
  <si>
    <t>008.</t>
  </si>
  <si>
    <t>Z výťažkov z lotérií</t>
  </si>
  <si>
    <t>019.</t>
  </si>
  <si>
    <t>z refundácie</t>
  </si>
  <si>
    <t>017.</t>
  </si>
  <si>
    <t>Z vratiek</t>
  </si>
  <si>
    <t>Nedaňové príjmy spolu</t>
  </si>
  <si>
    <t>granty a transfery</t>
  </si>
  <si>
    <t>Tuzemské bežné granty a transfery</t>
  </si>
  <si>
    <t>Dotácia na školstvo</t>
  </si>
  <si>
    <t>Dotácia na školstvo - kredit.prípl.</t>
  </si>
  <si>
    <t>Dotácia na školstvo-MŠ</t>
  </si>
  <si>
    <t>Dotácia na matričnú činnosť,evid.obyv.</t>
  </si>
  <si>
    <t>Dotácia na podporu zamestnanosti</t>
  </si>
  <si>
    <t>Dotácia pre deti zo soc.znevýh.prostr.</t>
  </si>
  <si>
    <t xml:space="preserve">001. </t>
  </si>
  <si>
    <t>Transfer na osobitného príjemcu-RP</t>
  </si>
  <si>
    <t>Transfer na osobitného príjemcu - HN</t>
  </si>
  <si>
    <t>Tuzemské granty a transfery</t>
  </si>
  <si>
    <t>Granty a transfery spolu</t>
  </si>
  <si>
    <t>Bežné príjmy spolu</t>
  </si>
  <si>
    <t>2. úprava rozpočtu</t>
  </si>
  <si>
    <t>plnenie III. Q</t>
  </si>
  <si>
    <t>Príjem z predaja kapitálových aktív</t>
  </si>
  <si>
    <t>Príjem z predaja pozemkov a nehm.aktív</t>
  </si>
  <si>
    <t>Zo ŠR - kamerový systém</t>
  </si>
  <si>
    <t>z vratiek</t>
  </si>
  <si>
    <t>Kapitálové príjmy spolu</t>
  </si>
  <si>
    <t>príjmy z ostatných finančných operácií</t>
  </si>
  <si>
    <t>Prevod z rezervného fondu obce</t>
  </si>
  <si>
    <t>Prevod z ostatných fondov obce</t>
  </si>
  <si>
    <t>Príjmy z ostatných finančných operácií</t>
  </si>
  <si>
    <t>úvery, pôžičky a návratné finančné výpomoci</t>
  </si>
  <si>
    <t>Tuzemské úvery, pôžičky a návratné finančné výpomoci</t>
  </si>
  <si>
    <t>Vlastné príjmy RO s právnou subjektivitou</t>
  </si>
  <si>
    <t>Základná škola</t>
  </si>
  <si>
    <t>Základná škola s VJM</t>
  </si>
  <si>
    <t>Materská škola</t>
  </si>
  <si>
    <t>SUMARIZÁCIA</t>
  </si>
  <si>
    <t>Rozpočtové príjmy spolu</t>
  </si>
  <si>
    <t>PROGRAM 1</t>
  </si>
  <si>
    <t>PLÁNOVANIE, MANAŽMENT A KONTROLA</t>
  </si>
  <si>
    <t>Rok</t>
  </si>
  <si>
    <t>Pod-</t>
  </si>
  <si>
    <t>Funkčná,</t>
  </si>
  <si>
    <t>Názov</t>
  </si>
  <si>
    <t>prog-</t>
  </si>
  <si>
    <t>ekonomic.</t>
  </si>
  <si>
    <t xml:space="preserve"> rozpočet</t>
  </si>
  <si>
    <t>v €</t>
  </si>
  <si>
    <t>v  €</t>
  </si>
  <si>
    <t>ram</t>
  </si>
  <si>
    <t>klasifik.</t>
  </si>
  <si>
    <t xml:space="preserve">PROGRAM 1:     Manažment, služby občanom </t>
  </si>
  <si>
    <t>v</t>
  </si>
  <si>
    <t>BEŽNÉ VÝDAVKY SPOLU:</t>
  </si>
  <si>
    <t>tom:</t>
  </si>
  <si>
    <t>KAPITÁLOVÉ VÝDAVKY SPOLU:</t>
  </si>
  <si>
    <t>FINANČNÉ OPERÁCIE SPOLU:</t>
  </si>
  <si>
    <t>Verejná správa</t>
  </si>
  <si>
    <t>Aktivita č.1</t>
  </si>
  <si>
    <t>Činnosť obecného úradu</t>
  </si>
  <si>
    <t>01.1.1.6.</t>
  </si>
  <si>
    <t>Obce</t>
  </si>
  <si>
    <t>610</t>
  </si>
  <si>
    <t>Mzdy, platy a ostatné osobné vyrovnania</t>
  </si>
  <si>
    <t>620</t>
  </si>
  <si>
    <t>Poistné a príspevky do poisťovní</t>
  </si>
  <si>
    <t>631</t>
  </si>
  <si>
    <t>Cestovné náhrady</t>
  </si>
  <si>
    <t>632</t>
  </si>
  <si>
    <t>Energie a telekomunikácie</t>
  </si>
  <si>
    <t>633</t>
  </si>
  <si>
    <t>Materiál</t>
  </si>
  <si>
    <t>634</t>
  </si>
  <si>
    <t>Dopravné</t>
  </si>
  <si>
    <t>635</t>
  </si>
  <si>
    <t xml:space="preserve">Rutinná a štandardná údržba </t>
  </si>
  <si>
    <t>636</t>
  </si>
  <si>
    <t>Nájomné za prenájom</t>
  </si>
  <si>
    <t>637</t>
  </si>
  <si>
    <t>Služby</t>
  </si>
  <si>
    <t>711</t>
  </si>
  <si>
    <t>Aktivita č.2</t>
  </si>
  <si>
    <t>Činnosť samosprávnych orgánov obce</t>
  </si>
  <si>
    <t>HK</t>
  </si>
  <si>
    <t>Odmeny poslancom a členom komisií OcZ</t>
  </si>
  <si>
    <t>Členstvo v samosprávnych organizáciách a združeniach</t>
  </si>
  <si>
    <t>642</t>
  </si>
  <si>
    <t>1</t>
  </si>
  <si>
    <t>Členské príspevky do združení</t>
  </si>
  <si>
    <t>2</t>
  </si>
  <si>
    <t>neziskovým organizáciám</t>
  </si>
  <si>
    <t>Manažment investícií</t>
  </si>
  <si>
    <t>01.1.1.6</t>
  </si>
  <si>
    <t>Transakcie verejného dlhu</t>
  </si>
  <si>
    <t>651</t>
  </si>
  <si>
    <t xml:space="preserve">Splácanie úrokov z úverov </t>
  </si>
  <si>
    <t>01.1.2</t>
  </si>
  <si>
    <t>Finančná a rozpočtová oblasť</t>
  </si>
  <si>
    <t>630</t>
  </si>
  <si>
    <t>Poplatky banke</t>
  </si>
  <si>
    <t>3</t>
  </si>
  <si>
    <t>Špeciálne služby / audit/</t>
  </si>
  <si>
    <t>4</t>
  </si>
  <si>
    <t>Za služby poskytnuté v rámci ROP - regen.sídel</t>
  </si>
  <si>
    <t>5</t>
  </si>
  <si>
    <t>Provízie za poskytnutie úveru</t>
  </si>
  <si>
    <t>FINANČNÉ OPERÁCIE VÝDAVKOVÉ SPOLU:</t>
  </si>
  <si>
    <t>824</t>
  </si>
  <si>
    <t>6</t>
  </si>
  <si>
    <t>821</t>
  </si>
  <si>
    <t>7</t>
  </si>
  <si>
    <t>Splatenie istiny úveru</t>
  </si>
  <si>
    <t>Služby občanom</t>
  </si>
  <si>
    <t>01.3.3.</t>
  </si>
  <si>
    <t>Iné všeobecné služby</t>
  </si>
  <si>
    <t>Mzdy</t>
  </si>
  <si>
    <t>Poistné</t>
  </si>
  <si>
    <t>Energie, voda, komunikácie</t>
  </si>
  <si>
    <t xml:space="preserve">Materiál </t>
  </si>
  <si>
    <t>Voľby a referendá</t>
  </si>
  <si>
    <t>01.8.0</t>
  </si>
  <si>
    <t xml:space="preserve">Všeobecné verejné služby inde neklasifikované    </t>
  </si>
  <si>
    <t xml:space="preserve">voľby  </t>
  </si>
  <si>
    <t>PROGRAM 2:</t>
  </si>
  <si>
    <t>OCHRANA OBYVATEĽSTVA</t>
  </si>
  <si>
    <t>Civilná ochrana</t>
  </si>
  <si>
    <t>02.2.0</t>
  </si>
  <si>
    <t>Poštovné a telekomunikačné služby</t>
  </si>
  <si>
    <t>Odmeny a príspevky</t>
  </si>
  <si>
    <t>PROGRAM 3:</t>
  </si>
  <si>
    <t>BEZPEČNOSŤ, PRÁVO A PORIADOK</t>
  </si>
  <si>
    <t>Verejný poriadok a bezpečnosť</t>
  </si>
  <si>
    <t>03.1.0.</t>
  </si>
  <si>
    <t>Policajné služby</t>
  </si>
  <si>
    <t xml:space="preserve">Cestovné náhrady </t>
  </si>
  <si>
    <t>Materiálne zabezpečenie</t>
  </si>
  <si>
    <t xml:space="preserve">Dopravné </t>
  </si>
  <si>
    <t>Údržba výpočtovej techniky</t>
  </si>
  <si>
    <t>8</t>
  </si>
  <si>
    <t>Služby, školenia</t>
  </si>
  <si>
    <t>9</t>
  </si>
  <si>
    <t>Transfery (členské)</t>
  </si>
  <si>
    <t>10</t>
  </si>
  <si>
    <t>Odmeny na základe dohôd</t>
  </si>
  <si>
    <t>Monitorovací kamerový systém</t>
  </si>
  <si>
    <t>713</t>
  </si>
  <si>
    <t>Ochrana pred požiarmi</t>
  </si>
  <si>
    <t>03.2.0.</t>
  </si>
  <si>
    <t>Požiarna ochrana</t>
  </si>
  <si>
    <t xml:space="preserve">Energie </t>
  </si>
  <si>
    <t>Rutinná a štandardná údržba</t>
  </si>
  <si>
    <t>Služby v súvislosti s požiarnou ochranou</t>
  </si>
  <si>
    <t>PROGRAM 4: KOMUNIKÁCIE, VÝSTAVBA A ROZVOJ OBCE</t>
  </si>
  <si>
    <t>PROSTREDIE PRE ŽIVOT</t>
  </si>
  <si>
    <t>PROGRAM 4:    Komunikácie, výstavba a rozvoj obce</t>
  </si>
  <si>
    <t>Menšie obecné služby</t>
  </si>
  <si>
    <t>04.1.2.0</t>
  </si>
  <si>
    <t>Všeobecno - pracovná oblasť</t>
  </si>
  <si>
    <t>Mzdy, platy, ostatné osobné vyrovnania</t>
  </si>
  <si>
    <t>Palivo, mazivo</t>
  </si>
  <si>
    <t>Správa a údržba miestnych komunikácií</t>
  </si>
  <si>
    <t>04.5.1.0</t>
  </si>
  <si>
    <t xml:space="preserve">Cestná doprava </t>
  </si>
  <si>
    <t>700</t>
  </si>
  <si>
    <t xml:space="preserve">Asfaltovanie komunikácií  </t>
  </si>
  <si>
    <t>Rutinná a štandartná údržba</t>
  </si>
  <si>
    <t>Výstavba obce</t>
  </si>
  <si>
    <t>04.4.3.0</t>
  </si>
  <si>
    <t>Geometrické plány, štúdie a usporiadanie majetku</t>
  </si>
  <si>
    <t>Správa a údržba majetku</t>
  </si>
  <si>
    <t>04.1.1.0</t>
  </si>
  <si>
    <t>Všeobecná ekonomická a obchodná činnosť</t>
  </si>
  <si>
    <t>Štandardná úrdržba</t>
  </si>
  <si>
    <t>Odstupné</t>
  </si>
  <si>
    <t>na nemocenské dávky</t>
  </si>
  <si>
    <t>04.1.1-0</t>
  </si>
  <si>
    <t>PROGRAM 5</t>
  </si>
  <si>
    <t>ODPADOVÉ HOSPODÁRSTVO</t>
  </si>
  <si>
    <t>Odvoz a zneškodňovanie odpadu</t>
  </si>
  <si>
    <t>05.1.0.</t>
  </si>
  <si>
    <t>Nakladanie s odpadmi</t>
  </si>
  <si>
    <t>Služby - odvoz a likvidácia odpadu</t>
  </si>
  <si>
    <t>externý manažment</t>
  </si>
  <si>
    <t>05.1.0</t>
  </si>
  <si>
    <t>Nakladanie s odpadovými vodami</t>
  </si>
  <si>
    <t>05.2.0.</t>
  </si>
  <si>
    <t>Služby - servis</t>
  </si>
  <si>
    <t xml:space="preserve">poistné  </t>
  </si>
  <si>
    <t>Výstavba kanalizácie</t>
  </si>
  <si>
    <t>Ochrana životného prostredia</t>
  </si>
  <si>
    <t>05.6.0</t>
  </si>
  <si>
    <t>Materiál – povodeň</t>
  </si>
  <si>
    <t>Špeciálne služby</t>
  </si>
  <si>
    <t>PROGRAM 6</t>
  </si>
  <si>
    <t>OBČIANSKA VYBAVENOSŤ</t>
  </si>
  <si>
    <t>Rozvoj obce</t>
  </si>
  <si>
    <t>06.2.0.</t>
  </si>
  <si>
    <t>poistenie - centrum obce</t>
  </si>
  <si>
    <t>špeciálne služby</t>
  </si>
  <si>
    <t>716</t>
  </si>
  <si>
    <t>Projektová dokumentácia</t>
  </si>
  <si>
    <t>717</t>
  </si>
  <si>
    <t>Verejné osvetlenie</t>
  </si>
  <si>
    <t>06.4.0.</t>
  </si>
  <si>
    <t>Rekonštrukcia verejného osvetlenia</t>
  </si>
  <si>
    <t>PROGRAM 7</t>
  </si>
  <si>
    <t>ZDRAVOTNÁ STAROSTLIVOSŤ</t>
  </si>
  <si>
    <t>Zdravotné stredisko</t>
  </si>
  <si>
    <t>07.6.0</t>
  </si>
  <si>
    <t>Zdravotníctvo inde neklasifikované</t>
  </si>
  <si>
    <t>07.6.0.</t>
  </si>
  <si>
    <t>Rekonštrukcia zdravotného strediska</t>
  </si>
  <si>
    <t>PROGRAM 8</t>
  </si>
  <si>
    <t>ŠPORT A KULTÚRA</t>
  </si>
  <si>
    <t>Športový areál</t>
  </si>
  <si>
    <t>08.1.0.0.</t>
  </si>
  <si>
    <t>Rekreačné a športové služby</t>
  </si>
  <si>
    <t>Energie</t>
  </si>
  <si>
    <t xml:space="preserve">Materiál  </t>
  </si>
  <si>
    <t>Prepravné</t>
  </si>
  <si>
    <t>Transfery športovým klubom</t>
  </si>
  <si>
    <t>TJ Družstevník Tekovské Lužany</t>
  </si>
  <si>
    <t>STK Tekovské Lužany</t>
  </si>
  <si>
    <t>Jednotlivci a ostatné športové aktivity</t>
  </si>
  <si>
    <t xml:space="preserve">Podpora kultúrnych a iných spoločenských aktivít </t>
  </si>
  <si>
    <t>Kultúrne služby</t>
  </si>
  <si>
    <t>08.2.0.1</t>
  </si>
  <si>
    <t>Mzdy, platy a ostatné služobné vyrovnania</t>
  </si>
  <si>
    <t>Všeobecný materiál</t>
  </si>
  <si>
    <t>Reprezentačné</t>
  </si>
  <si>
    <t>Knižničné služby</t>
  </si>
  <si>
    <t>08.2.0.5</t>
  </si>
  <si>
    <t>Knižnica</t>
  </si>
  <si>
    <t>11</t>
  </si>
  <si>
    <t>Tovary a služby</t>
  </si>
  <si>
    <t>Aktivita č.3</t>
  </si>
  <si>
    <t>Organizácia občianskych obradov</t>
  </si>
  <si>
    <t>08.2.0.9</t>
  </si>
  <si>
    <t>Ostatné kultúrne služby</t>
  </si>
  <si>
    <t>12</t>
  </si>
  <si>
    <t>Špeciálne služby (ZPOZ)</t>
  </si>
  <si>
    <t>Transfery kultúre</t>
  </si>
  <si>
    <t>640</t>
  </si>
  <si>
    <t>Mažoretky</t>
  </si>
  <si>
    <t>Obecné slávnosti</t>
  </si>
  <si>
    <t>Transfery občianskym združeniam</t>
  </si>
  <si>
    <t>08.4.0.</t>
  </si>
  <si>
    <t>Náboženské a iné spoločenské služby</t>
  </si>
  <si>
    <t>Transfer cirkvi, nábož.spoločnosti, cirkevnej charite</t>
  </si>
  <si>
    <t>Transfer ostaným občianskym združeniam</t>
  </si>
  <si>
    <t>Správa cintorínov</t>
  </si>
  <si>
    <t>PROGRAM 9</t>
  </si>
  <si>
    <t>VZDELÁVANIE</t>
  </si>
  <si>
    <t>09.1.1.1.</t>
  </si>
  <si>
    <t>Predškolská výchova s bežnou starostlivosťou</t>
  </si>
  <si>
    <t>610,620</t>
  </si>
  <si>
    <t>Mzdy a odvody</t>
  </si>
  <si>
    <t>630,640</t>
  </si>
  <si>
    <t>Potraviny</t>
  </si>
  <si>
    <t>školské potreby</t>
  </si>
  <si>
    <t>dotácia na deti v predškolskom veku</t>
  </si>
  <si>
    <t>Rekonštrukcia materskej školy</t>
  </si>
  <si>
    <t>09.1.2.1.</t>
  </si>
  <si>
    <t>Základné vzdelanie s bežnou starostlivosťou</t>
  </si>
  <si>
    <t>Tovary a služby - z účtu obce</t>
  </si>
  <si>
    <t>ŠKD</t>
  </si>
  <si>
    <t>dotácia na dopravné</t>
  </si>
  <si>
    <t>dotácie pre deti zo sociálne znevýhodneného prostredia</t>
  </si>
  <si>
    <t>dotácia na školské potreby</t>
  </si>
  <si>
    <t>dotácia na vzdelávacie poukazy</t>
  </si>
  <si>
    <t>Zariadenie školského stravovania</t>
  </si>
  <si>
    <t>09.6.0.1.</t>
  </si>
  <si>
    <t>Školské stravovacie zariadenia</t>
  </si>
  <si>
    <t>Odvody</t>
  </si>
  <si>
    <t xml:space="preserve">Všeobecný materiál </t>
  </si>
  <si>
    <t>Prevádzkové stroje a prístroje</t>
  </si>
  <si>
    <t>PROGRAM 10</t>
  </si>
  <si>
    <t xml:space="preserve"> SOCIÁLNE SLUŽBY</t>
  </si>
  <si>
    <t>SOCIÁLNE SLUŽBY</t>
  </si>
  <si>
    <t>Seniori</t>
  </si>
  <si>
    <t>10.2.0.1</t>
  </si>
  <si>
    <t>Staroba</t>
  </si>
  <si>
    <t>Stravovanie dôchodcov</t>
  </si>
  <si>
    <t>Vianočné poukážky</t>
  </si>
  <si>
    <t>Opatrovateľská služba</t>
  </si>
  <si>
    <t>Sociálna pomoc občanom</t>
  </si>
  <si>
    <t>10.7.0.2</t>
  </si>
  <si>
    <t>Pomoc v hmotnej a sociálnej núdzi</t>
  </si>
  <si>
    <t>Jednorázová dávka v hmotnej núdzi</t>
  </si>
  <si>
    <t>Príspevok na pohreb</t>
  </si>
  <si>
    <t>Komunitné centrum</t>
  </si>
  <si>
    <t>10.4.0.2.</t>
  </si>
  <si>
    <t>Sociálne príspevky pre deti</t>
  </si>
  <si>
    <t>10.4.0.</t>
  </si>
  <si>
    <t>Rodina a deti</t>
  </si>
  <si>
    <t>Príspevok na stravovanie detí v hmotnej núdzi</t>
  </si>
  <si>
    <t>Príspevok na osobitného príjemcu</t>
  </si>
  <si>
    <t>BILANCIA PROGRAMOVÉHO ROZPOČTU OBCE TEKOVSKÉ LUŽANY</t>
  </si>
  <si>
    <t>CELKOVÁ BILANCIA ROZPOČTU</t>
  </si>
  <si>
    <t xml:space="preserve">Rok </t>
  </si>
  <si>
    <t>Rozpočtové zdroje:</t>
  </si>
  <si>
    <t>Finančné operácie príjmové</t>
  </si>
  <si>
    <t>ROZPOČTOVÉ ZDROJE SPOLU</t>
  </si>
  <si>
    <t>Rozpočtové výdavky:</t>
  </si>
  <si>
    <t>Bežné výdavky</t>
  </si>
  <si>
    <t>Kapitálové výdavky</t>
  </si>
  <si>
    <t>Finančné operácie výdavkové</t>
  </si>
  <si>
    <t>ROZPOČTOVÉ VÝDAVKY SPOLU</t>
  </si>
  <si>
    <t>ROZDIEL</t>
  </si>
  <si>
    <t>DRUHOVÁ BILANCIA ROZPOČTU</t>
  </si>
  <si>
    <t>rozdiel</t>
  </si>
  <si>
    <t>Výdavkové finančné operácie</t>
  </si>
  <si>
    <t>Rozpočtové zdroje</t>
  </si>
  <si>
    <t>Rozpočtové výdavky</t>
  </si>
  <si>
    <t>€</t>
  </si>
  <si>
    <t>Občianska vybavenosť</t>
  </si>
  <si>
    <t>Vzdelávanie</t>
  </si>
  <si>
    <t>Sumarizácia</t>
  </si>
  <si>
    <t>01 všeobecné verejné služby</t>
  </si>
  <si>
    <t>01.1.1 Výdavky verejnej správy</t>
  </si>
  <si>
    <t>Mzdy, platy, sl.príjmy a ost.os.vyrovnania</t>
  </si>
  <si>
    <t>voľby</t>
  </si>
  <si>
    <t>Na úrazové poistenie</t>
  </si>
  <si>
    <t>z toho  631</t>
  </si>
  <si>
    <t>Energia, voda, telekomunikácie</t>
  </si>
  <si>
    <t>v tom:energia, telekomunikácie-voľby</t>
  </si>
  <si>
    <t>Materiál:</t>
  </si>
  <si>
    <t>interiérové vybavenie</t>
  </si>
  <si>
    <t>výpočtová technika</t>
  </si>
  <si>
    <t>prevádzkové stroje a zariadenia</t>
  </si>
  <si>
    <t>všeobecný materiál - životné prostredie</t>
  </si>
  <si>
    <t>všeobecný materiál</t>
  </si>
  <si>
    <t>009.</t>
  </si>
  <si>
    <t>knihy, časopisy</t>
  </si>
  <si>
    <t>010.</t>
  </si>
  <si>
    <t>pracovné odevy pomôcky</t>
  </si>
  <si>
    <t>011.</t>
  </si>
  <si>
    <t>potraviny</t>
  </si>
  <si>
    <t>softvér a licencie</t>
  </si>
  <si>
    <t>016.</t>
  </si>
  <si>
    <t>reprezentačné</t>
  </si>
  <si>
    <t>Doprava:</t>
  </si>
  <si>
    <t>palivo, mazivá, oleje</t>
  </si>
  <si>
    <t>v tom:palivá,mazivá, oleje - voľby</t>
  </si>
  <si>
    <t>údržba, opravy</t>
  </si>
  <si>
    <t>poistenie</t>
  </si>
  <si>
    <t>prepravné</t>
  </si>
  <si>
    <t>karty, známky, poplatky</t>
  </si>
  <si>
    <t>Rutinná a štandartná údržba:</t>
  </si>
  <si>
    <t>výpočtovej techniky</t>
  </si>
  <si>
    <t>prevádzkových strojov a zariadení</t>
  </si>
  <si>
    <t>budov, priestorov a objektov</t>
  </si>
  <si>
    <t>Nájomné za prenájom:</t>
  </si>
  <si>
    <t>dopravných prostriedkov</t>
  </si>
  <si>
    <t>Služby:</t>
  </si>
  <si>
    <t>školenia, kurzy, semináre</t>
  </si>
  <si>
    <t>031.</t>
  </si>
  <si>
    <t>pokuty a penále</t>
  </si>
  <si>
    <t>všeobecné služby</t>
  </si>
  <si>
    <t>poplatky, odvody a dane</t>
  </si>
  <si>
    <t>stravovanie</t>
  </si>
  <si>
    <t>stravovanie - voľby</t>
  </si>
  <si>
    <t>015.</t>
  </si>
  <si>
    <t>poistné</t>
  </si>
  <si>
    <t>prídel do sociálneho fondu</t>
  </si>
  <si>
    <t>018.</t>
  </si>
  <si>
    <t>kolkové známky</t>
  </si>
  <si>
    <t>027.</t>
  </si>
  <si>
    <t>Bežné transfery</t>
  </si>
  <si>
    <t>občianskym združeniam</t>
  </si>
  <si>
    <t>01.1.2 Finančná a rozpočtová oblasť</t>
  </si>
  <si>
    <t>026.</t>
  </si>
  <si>
    <t>odmeny na základe dohôd-pre čl.zast.</t>
  </si>
  <si>
    <t>Služby - audit</t>
  </si>
  <si>
    <t xml:space="preserve"> Poistné a prísp. do poisťovní-zdroj ŠR</t>
  </si>
  <si>
    <t>v tom: Pracovné odevy+materiál</t>
  </si>
  <si>
    <t>Školenia, kurzy, semináre</t>
  </si>
  <si>
    <t>01</t>
  </si>
  <si>
    <t>Všeobecné verejné služby</t>
  </si>
  <si>
    <t>02 civilná ochrana</t>
  </si>
  <si>
    <t>02.2.0 Civilná obrana</t>
  </si>
  <si>
    <t>Poštové a telekomunikačné služby</t>
  </si>
  <si>
    <t>02</t>
  </si>
  <si>
    <t>03 policajné služby</t>
  </si>
  <si>
    <t>03.1.0 Policajné služby</t>
  </si>
  <si>
    <t>cestovné náhrady</t>
  </si>
  <si>
    <t>Výpočtová technika</t>
  </si>
  <si>
    <t>Knihy, časopisy, odborná literatúra</t>
  </si>
  <si>
    <t>Pracovné odevy, obuv, prac. Pomôcky</t>
  </si>
  <si>
    <t>Palivá, mazivá, oleje</t>
  </si>
  <si>
    <t>Údržba, opravy</t>
  </si>
  <si>
    <t>Poistenie</t>
  </si>
  <si>
    <t>Rutinná a štandartná údržba-výp.techn.</t>
  </si>
  <si>
    <t>Služby,školenia</t>
  </si>
  <si>
    <t>Transfery (členské, odchodné)</t>
  </si>
  <si>
    <t>03.2.0 Požiarna ochrana</t>
  </si>
  <si>
    <t>Interiérové vybavenie</t>
  </si>
  <si>
    <t>Prevádzkové stroje,prístroje, zariad.</t>
  </si>
  <si>
    <t>Príspevok DHZ</t>
  </si>
  <si>
    <t>03</t>
  </si>
  <si>
    <t>Policajné služby, PO</t>
  </si>
  <si>
    <t>04 všeobecná ekonomická a obchodná oblasť</t>
  </si>
  <si>
    <t>04.1.1 Všeobecná ekonomická a obchodná oblasť</t>
  </si>
  <si>
    <t>Prevádzkové stroje, prístr.,zar.</t>
  </si>
  <si>
    <t>Pracovné odevy, obuv a prac. Pomôcky</t>
  </si>
  <si>
    <t>palivá - kosačky</t>
  </si>
  <si>
    <t>Služby,školenia,poistenie</t>
  </si>
  <si>
    <t>04.1.2 Všeobecno - pracovná oblasť /aktivačná činnosť/</t>
  </si>
  <si>
    <t>Poistné a prísp. do poisťovní - zdroj ŠR</t>
  </si>
  <si>
    <t>Materiál - zdroj ŠR</t>
  </si>
  <si>
    <t>04.4.3 Výstavba</t>
  </si>
  <si>
    <t>04.5.1 Cestná doprava</t>
  </si>
  <si>
    <t>04.7.3 Cestovný ruch</t>
  </si>
  <si>
    <t>04</t>
  </si>
  <si>
    <t>Ekonomická oblasť</t>
  </si>
  <si>
    <t>05 ochrana životného prostredia</t>
  </si>
  <si>
    <t>05.1.0 Nakladanie s odpadmi</t>
  </si>
  <si>
    <t>Prenájom</t>
  </si>
  <si>
    <t>zberný dvor</t>
  </si>
  <si>
    <t>05.2.0 Nakladanie s odpadovými vodami</t>
  </si>
  <si>
    <t>Dopravné, servis</t>
  </si>
  <si>
    <t>Servis a údržba</t>
  </si>
  <si>
    <t>rutinná a štandartná údržba</t>
  </si>
  <si>
    <t>05.6.0 Ochrana životného prostredia</t>
  </si>
  <si>
    <t>05</t>
  </si>
  <si>
    <t>06 občianska vybavenosť</t>
  </si>
  <si>
    <t>06.2.0 Rozvoj obce</t>
  </si>
  <si>
    <t>poistné - centrum obce</t>
  </si>
  <si>
    <t>06.4.0 Verejné osvetlenie</t>
  </si>
  <si>
    <t>06</t>
  </si>
  <si>
    <t>07 zdravotníctvo</t>
  </si>
  <si>
    <t>07.6.0 Zdravotníctvo inde neklasifikované</t>
  </si>
  <si>
    <t>Mzdy, platy,príjmy a ost. os. vyrovn.</t>
  </si>
  <si>
    <t>07</t>
  </si>
  <si>
    <t>Zdravotníctvo</t>
  </si>
  <si>
    <t>08 športové, kultúrne a spoločenské služby</t>
  </si>
  <si>
    <t>08.1.0 Rekreačné a športové služby</t>
  </si>
  <si>
    <t xml:space="preserve">Transfery  </t>
  </si>
  <si>
    <t>v tom: TJ Družstevník</t>
  </si>
  <si>
    <t>STK</t>
  </si>
  <si>
    <t>08.2.0 Kultúrne služby</t>
  </si>
  <si>
    <t>prevádzkové stroje, prístr.,zar.</t>
  </si>
  <si>
    <t>mažoretky</t>
  </si>
  <si>
    <t>Nájomné prev. strojov</t>
  </si>
  <si>
    <t>Všeobecné služby-obecné slávnosti</t>
  </si>
  <si>
    <t>posedenie s dôchodcami</t>
  </si>
  <si>
    <t>08.2.0.5 Knižnice</t>
  </si>
  <si>
    <t>Materiál, knihy</t>
  </si>
  <si>
    <t>08.2.0.9 Ostatné kultúrne služby</t>
  </si>
  <si>
    <t>Špeciálne služby (kronika, ZPOZ)</t>
  </si>
  <si>
    <t>08.4.0 Náboženské a iné spoločenské služby</t>
  </si>
  <si>
    <t>Energie, služby</t>
  </si>
  <si>
    <t>08</t>
  </si>
  <si>
    <t>Športové, kultúrne a spol.služby</t>
  </si>
  <si>
    <t>09 vzdelávanie</t>
  </si>
  <si>
    <t>09.1.1.1 Predškolská výchova s bežnou starostlivosťou</t>
  </si>
  <si>
    <t>610,620,</t>
  </si>
  <si>
    <t>630,640,</t>
  </si>
  <si>
    <t>predškolský vek</t>
  </si>
  <si>
    <t>Tovary a služby- z účtu OÚ</t>
  </si>
  <si>
    <t>09.1.2.1 Základné vzdelanie s bežnou starostlivosťou</t>
  </si>
  <si>
    <t>dotácie a príspevky</t>
  </si>
  <si>
    <t>vzdelávacie poukazy</t>
  </si>
  <si>
    <t>09.6.0.</t>
  </si>
  <si>
    <t>Energia,voda,telekomunikácia</t>
  </si>
  <si>
    <t>Prevádzkové stroje,prístr.</t>
  </si>
  <si>
    <t>Rutinná údržba budov prev.strojov,zar.</t>
  </si>
  <si>
    <t>09</t>
  </si>
  <si>
    <t>10 sociálne zabezpečenie</t>
  </si>
  <si>
    <t>10  Sociálne zabezpečenie</t>
  </si>
  <si>
    <t>10.2.0.2</t>
  </si>
  <si>
    <t>pohrebné</t>
  </si>
  <si>
    <t>nenávr. dávka v HN</t>
  </si>
  <si>
    <t>10.7.0.1</t>
  </si>
  <si>
    <t>Jednorázová dávka v HN</t>
  </si>
  <si>
    <t>10.7.0.1.</t>
  </si>
  <si>
    <t>Sociálne príspevky</t>
  </si>
  <si>
    <t>občianskemu združeniu</t>
  </si>
  <si>
    <t>10.7.0.</t>
  </si>
  <si>
    <t>výdavky na miesta v detských domovoch</t>
  </si>
  <si>
    <t>na stravovanie detí v HN-zdroj ŠR</t>
  </si>
  <si>
    <t>osobitný príjemca - HN</t>
  </si>
  <si>
    <t>osobitný príjemca-RP</t>
  </si>
  <si>
    <t>Sociálne zabezpečenie</t>
  </si>
  <si>
    <t>Bežné výdavky spolu:</t>
  </si>
  <si>
    <t>Prev.zariadenie - kamerový systém</t>
  </si>
  <si>
    <t>v tom:Prev.zariad. - kamerový systém-ŠR</t>
  </si>
  <si>
    <t>04.5.1.3 Správa a údržba ciest</t>
  </si>
  <si>
    <r>
      <t>05.</t>
    </r>
    <r>
      <rPr>
        <b/>
        <i/>
        <sz val="8"/>
        <rFont val="Arial CE"/>
        <family val="2"/>
        <charset val="238"/>
      </rPr>
      <t>2.0 Nakladanie s odpadovými vodami</t>
    </r>
  </si>
  <si>
    <t>projektová dokumentácia</t>
  </si>
  <si>
    <t>06.2.0 Rozvoj obcí</t>
  </si>
  <si>
    <t>Rekonštrukcia parku</t>
  </si>
  <si>
    <t>Prípravná a projektová dokumentácia</t>
  </si>
  <si>
    <t>Rekonštrukcia MŠ</t>
  </si>
  <si>
    <t>Rekonštrukcia a modernizácia</t>
  </si>
  <si>
    <t>10.4 Sociálne zabezpečenie</t>
  </si>
  <si>
    <t>Kapitálové výdavky spolu:</t>
  </si>
  <si>
    <t>Výdavkové finančné oprácie</t>
  </si>
  <si>
    <t>Výdavkové finančné operácie spolu:</t>
  </si>
  <si>
    <t>Bežné výdavky spolu</t>
  </si>
  <si>
    <t>Kapitálové výdavky spolu</t>
  </si>
  <si>
    <t>Rozpočtové výdavky spolu</t>
  </si>
  <si>
    <t>Príspevok pre DHZ</t>
  </si>
  <si>
    <t>dotácia na školstvo - učebnice</t>
  </si>
  <si>
    <t>dotácia na ROEP</t>
  </si>
  <si>
    <t>dotácia - KC</t>
  </si>
  <si>
    <t>granty OP</t>
  </si>
  <si>
    <t>od fyzickej osoby</t>
  </si>
  <si>
    <t>prevod z ostatných fondov obce</t>
  </si>
  <si>
    <t>dotácia na školstvo - kreditové príplatky</t>
  </si>
  <si>
    <t>3.14</t>
  </si>
  <si>
    <t>transfer na osobitného príjemcu - RP</t>
  </si>
  <si>
    <t>transfer na osobitného príjemcu - HN</t>
  </si>
  <si>
    <t>3.15</t>
  </si>
  <si>
    <t>3.16</t>
  </si>
  <si>
    <t>3.17</t>
  </si>
  <si>
    <t>3.21</t>
  </si>
  <si>
    <t>dotácia - komunitné centrum</t>
  </si>
  <si>
    <t>príjem z predaja kapitálových aktív</t>
  </si>
  <si>
    <t>príjem z predaja pozemkov a nehmotných aktív</t>
  </si>
  <si>
    <t>Mzdy, platy, sl. Príjmy a ost.os.vyrovnania § 54</t>
  </si>
  <si>
    <t>všeobecný materiál - ples obce</t>
  </si>
  <si>
    <t>licencie, autorské práva SOZA</t>
  </si>
  <si>
    <t>všeobecné služby - ples obce</t>
  </si>
  <si>
    <t>koncesionárske poplatky</t>
  </si>
  <si>
    <t>v tom mzdy - zdroj ŠR</t>
  </si>
  <si>
    <t>Servis</t>
  </si>
  <si>
    <t>pracovné odevy, obuv a prac.pomôcky § 54</t>
  </si>
  <si>
    <t>energie a telekomunikácie</t>
  </si>
  <si>
    <t>mzdy, platy, sl.príjmy a ost.os.vyrovnania</t>
  </si>
  <si>
    <t>v tom - zdroj ŠR</t>
  </si>
  <si>
    <t>poistné a príspevky do poisťovní</t>
  </si>
  <si>
    <t>poistenie dopravných prostriedkov</t>
  </si>
  <si>
    <t>učebnice</t>
  </si>
  <si>
    <t>TSP</t>
  </si>
  <si>
    <t>cestovné</t>
  </si>
  <si>
    <t>energia, voda, telekomunikácie</t>
  </si>
  <si>
    <t>prevádzkové stroje, prístroje, zariadenia</t>
  </si>
  <si>
    <t>softvér</t>
  </si>
  <si>
    <t>služby</t>
  </si>
  <si>
    <t>nákl.voz.ťahače príp.voz.</t>
  </si>
  <si>
    <t>Rekonštrukcia OcÚ</t>
  </si>
  <si>
    <t>Rekonštrukcia Ocú z RF</t>
  </si>
  <si>
    <t>vratky</t>
  </si>
  <si>
    <t>Terénna sociálna práca</t>
  </si>
  <si>
    <t>13</t>
  </si>
  <si>
    <t>dotácia na učebnice</t>
  </si>
  <si>
    <t>príjmy z pren.strojov a zariadení (zberný dvor)</t>
  </si>
  <si>
    <t>Príjem poplatkov zberného dvora</t>
  </si>
  <si>
    <t>2.12</t>
  </si>
  <si>
    <t>lízing vozidla</t>
  </si>
  <si>
    <t>dotácia pre DHZ</t>
  </si>
  <si>
    <t>likvidácia kuchynského odpadu</t>
  </si>
  <si>
    <t>výstavba chodníkov</t>
  </si>
  <si>
    <r>
      <t>Predmetom dane za jadrové zariadenie v súlade so zákonom č. 582/2004 Z.z. o miestnych daniach a poplatku za komunálne odpady a drobné stavebné odpady je jadrové zariadenie v ktorom prebieha štiepna reakcia a vyrába sa elektrická energia (ďalej len „jadrové zariadenie“), a to aj časť kalendárneho roka. Daňovníkom dane je prevádzkovateľ jadrového zariadenia. Základom dane je výmera katastrálneho územia obce v m</t>
    </r>
    <r>
      <rPr>
        <vertAlign val="superscript"/>
        <sz val="8"/>
        <rFont val="Tahoma"/>
        <family val="2"/>
        <charset val="238"/>
      </rPr>
      <t>2</t>
    </r>
    <r>
      <rPr>
        <sz val="8"/>
        <rFont val="Tahoma"/>
        <family val="2"/>
        <charset val="238"/>
      </rPr>
      <t>, ktoré sa nachádza v oblasti ohrozenia jadrovým zariadením.</t>
    </r>
  </si>
  <si>
    <t>bežné príjmy</t>
  </si>
  <si>
    <t>kapitálové príjmy</t>
  </si>
  <si>
    <t>príjmové finančné operácie</t>
  </si>
  <si>
    <t>vlastné príjmy RO s právnou subjektivitou</t>
  </si>
  <si>
    <t>dotácia TSP</t>
  </si>
  <si>
    <t>bankové úvery dlhodobé</t>
  </si>
  <si>
    <t>granty KC</t>
  </si>
  <si>
    <t>zberný dvor/nemocenské dávky</t>
  </si>
  <si>
    <t>služby maž. Stretnutie</t>
  </si>
  <si>
    <t>nákup pozemkov/prev.strojov a zariadení</t>
  </si>
  <si>
    <t>04.1.1</t>
  </si>
  <si>
    <t>Všeobecná obchodná a ekonomická oblasť</t>
  </si>
  <si>
    <t>nákup prev.strojov a zariadení (buldozér)</t>
  </si>
  <si>
    <t>realizácia stavieb</t>
  </si>
  <si>
    <t>dotácia na podporu športu/kultúry</t>
  </si>
  <si>
    <t>MŽP SR (kanalizácia)</t>
  </si>
  <si>
    <t>v tom: aktivačná činnosť</t>
  </si>
  <si>
    <t>komunitné centrum</t>
  </si>
  <si>
    <t>nákup prevádzkových strojov a zariadení</t>
  </si>
  <si>
    <t>3.22</t>
  </si>
  <si>
    <t>3.23</t>
  </si>
  <si>
    <t>Leader - park</t>
  </si>
  <si>
    <t>pamätník/MR</t>
  </si>
  <si>
    <t>rež.nákl. Od stravníkov ZŠ</t>
  </si>
  <si>
    <t>reprezentačné Kult. Komisia</t>
  </si>
  <si>
    <t>rekonštrukcia multifunkčného ihriska</t>
  </si>
  <si>
    <t>zdravotné stredisko</t>
  </si>
  <si>
    <t>európa obyvateľom</t>
  </si>
  <si>
    <t>nákup prev.strojov</t>
  </si>
  <si>
    <t>ŠKD - príspevky rodičov</t>
  </si>
  <si>
    <t>MŠVVaŠ SR - dopravné</t>
  </si>
  <si>
    <t>MŠVVaŠ SR - lyžiarsky kurz, škola v prírode</t>
  </si>
  <si>
    <t>MŠVVaŠ SR - vzdelávacie poukazy</t>
  </si>
  <si>
    <t>MPSVaR SR - dotácia na deti zo SZP</t>
  </si>
  <si>
    <t>MPSVaR SR - ŠP v hmotnej núdzi</t>
  </si>
  <si>
    <t>MŠVVaŠ SR - kreditové príplatky</t>
  </si>
  <si>
    <t>príspevky od rodičov</t>
  </si>
  <si>
    <t>MPSVaR SR - školské potreby</t>
  </si>
  <si>
    <t>stravné - deti</t>
  </si>
  <si>
    <t>stravné - dospelí</t>
  </si>
  <si>
    <t>MPSVaR SR - predškolský vek</t>
  </si>
  <si>
    <t>Školská jedáleň pri MŠ</t>
  </si>
  <si>
    <t>1-4</t>
  </si>
  <si>
    <t>5-9</t>
  </si>
  <si>
    <t>NPG</t>
  </si>
  <si>
    <t>dopravné</t>
  </si>
  <si>
    <t>lyžiarsky kurz, škola v prírode</t>
  </si>
  <si>
    <t>dotácia pre deti zo SZP</t>
  </si>
  <si>
    <t>mzdy a odvody</t>
  </si>
  <si>
    <t>Základná škola s VJM - Alapiskola</t>
  </si>
  <si>
    <t>školské potreby z ÚPSV a R</t>
  </si>
  <si>
    <t>školské potreby z ÚPSVaR</t>
  </si>
  <si>
    <t>v tom: mzdy, platy, sl.príjym a ost.os.vyrovnania</t>
  </si>
  <si>
    <t xml:space="preserve">          Odmeny zamestnancom mimoprac.pomeru</t>
  </si>
  <si>
    <t>v tom: mzdy, platy, sl.príjym a ost.os.vyrovn.-asist.</t>
  </si>
  <si>
    <t xml:space="preserve">          poistné a príspevky do posťovní-asist.</t>
  </si>
  <si>
    <t xml:space="preserve">         vš.materiál </t>
  </si>
  <si>
    <t xml:space="preserve">          vš. materiál - krúžková činnosť</t>
  </si>
  <si>
    <t>v tom: Odmeny zamestnancom mimoprac.pomeru</t>
  </si>
  <si>
    <t xml:space="preserve">          Poistné a príspevky do poisťovní</t>
  </si>
  <si>
    <t xml:space="preserve">          Služby, prepravné, zápožička</t>
  </si>
  <si>
    <t>MPSVaR SR - učebnice</t>
  </si>
  <si>
    <t>všeobecný materiál - ŠKD</t>
  </si>
  <si>
    <t>v tom: služby, ubytovanie, zápožička</t>
  </si>
  <si>
    <t>v tom: Mzdy,platy, sl.príjmy a ost. os.vyrovnania</t>
  </si>
  <si>
    <t xml:space="preserve">         Odmeny zamestnancom mimoprac.pomeru</t>
  </si>
  <si>
    <t>Za stravné /OcÚ/-režijné náklady šj</t>
  </si>
  <si>
    <t xml:space="preserve">          ŠKD ZŠ </t>
  </si>
  <si>
    <t xml:space="preserve">          ŠKD ZŠ s VJM</t>
  </si>
  <si>
    <t>V tom:mzdy - zdroj ŠR</t>
  </si>
  <si>
    <t>v tom: MŠ + ŠJ</t>
  </si>
  <si>
    <t>Dotácia na vzdelávanie MRK/ROEP</t>
  </si>
  <si>
    <t>bežné transfery:</t>
  </si>
  <si>
    <t>škola v prírode, lyžiarsky kurz</t>
  </si>
  <si>
    <t>školská jedáleň</t>
  </si>
  <si>
    <t>vlastné príjmy RO</t>
  </si>
  <si>
    <t>CVČ</t>
  </si>
  <si>
    <t xml:space="preserve">          CVČ</t>
  </si>
  <si>
    <t>predaj výrobkov, tovarov a služieb - zberný dvor</t>
  </si>
  <si>
    <t>z dobropisov</t>
  </si>
  <si>
    <t>opatrovateľská služba</t>
  </si>
  <si>
    <t>dotácia na lyžiarsky kurz, škola v prírode</t>
  </si>
  <si>
    <t>dotácia - kanalizácia</t>
  </si>
  <si>
    <t>dotácia - skladník PIOO</t>
  </si>
  <si>
    <t>dotácia - TSP</t>
  </si>
  <si>
    <t>zostatky z predchádzajúcich rokov</t>
  </si>
  <si>
    <t>poplatky, odvody a dane - úverový poplatok</t>
  </si>
  <si>
    <t>na členské príspevky, DCOM</t>
  </si>
  <si>
    <t>jednotlivcovi - cena obce</t>
  </si>
  <si>
    <t>splácanie úrokov banke - úver</t>
  </si>
  <si>
    <t>z roku 2016</t>
  </si>
  <si>
    <t>obecné slávnosti EU</t>
  </si>
  <si>
    <t>obecné slávnosti VUC</t>
  </si>
  <si>
    <t>knihy BG - Nem felejtunk</t>
  </si>
  <si>
    <t>nájomné</t>
  </si>
  <si>
    <t>zdravotníctvo</t>
  </si>
  <si>
    <t>v tom: dotácia EU, ŠR</t>
  </si>
  <si>
    <t>Rekonštrukcia ciest, chodníkov</t>
  </si>
  <si>
    <t>návratné fin. výpomoci FO</t>
  </si>
  <si>
    <t>MV SR - DHZO</t>
  </si>
  <si>
    <t>IROP (rozšírenie MŠ)</t>
  </si>
  <si>
    <t>SIEA (zateplenie MŠ)</t>
  </si>
  <si>
    <t>ÚV SR - hasičská zbrojnica</t>
  </si>
  <si>
    <t>dotácia lyžiarsky kurz, škola v príríde</t>
  </si>
  <si>
    <t>3.24</t>
  </si>
  <si>
    <t>športové aktivity</t>
  </si>
  <si>
    <t>PHM - kosačky, traktor</t>
  </si>
  <si>
    <t>asistentky</t>
  </si>
  <si>
    <t xml:space="preserve">Odmeny a príspevky </t>
  </si>
  <si>
    <t>učebnice a školské potreby</t>
  </si>
  <si>
    <t>prístavba HZ</t>
  </si>
  <si>
    <t>modernizácia VO</t>
  </si>
  <si>
    <t>verejné obstarávanie</t>
  </si>
  <si>
    <t>MZ SR - CIZS</t>
  </si>
  <si>
    <t>Prístavba MŠ</t>
  </si>
  <si>
    <t>09.7.0.</t>
  </si>
  <si>
    <t>tovary a služby z účtu obce</t>
  </si>
  <si>
    <t>Centrum voľného času</t>
  </si>
  <si>
    <t>14</t>
  </si>
  <si>
    <t>15</t>
  </si>
  <si>
    <t>bežné transfery</t>
  </si>
  <si>
    <t>01.6.0 Iné všeobecné služby /matrika/</t>
  </si>
  <si>
    <t>účast na majetku v tuzemsku</t>
  </si>
  <si>
    <t>dotácia DHZ</t>
  </si>
  <si>
    <t>ÚV SR - prístavba HZ</t>
  </si>
  <si>
    <t>MŽP - kanalizácia a ČOV</t>
  </si>
  <si>
    <t>IROP - rozšírenie MŠ</t>
  </si>
  <si>
    <t>Nákup pozemkov, projektová dokumentácia</t>
  </si>
  <si>
    <t>814</t>
  </si>
  <si>
    <t>účasť na majetku v tuzemsku</t>
  </si>
  <si>
    <t>007.</t>
  </si>
  <si>
    <t>Dotácia na stravovanie detí ZŠ</t>
  </si>
  <si>
    <t>Dotácia na stravovanie detí MŠ</t>
  </si>
  <si>
    <t>zostatky z predchádzajúcich rokov-zábezpeky</t>
  </si>
  <si>
    <t>Iné PFO - zábezpeky</t>
  </si>
  <si>
    <t>IOMO - správne poplatky</t>
  </si>
  <si>
    <t>MPSVaR SR - asistenti</t>
  </si>
  <si>
    <t>stravné deti z UPSVaR</t>
  </si>
  <si>
    <t>sankcie uložené v daňovom konaní</t>
  </si>
  <si>
    <t>Daň za komunálny odpad-minulé roky</t>
  </si>
  <si>
    <t>Daň za psa-minulé roky</t>
  </si>
  <si>
    <t>2019 S</t>
  </si>
  <si>
    <t>01.7.0 Transakcia verejného dlhu</t>
  </si>
  <si>
    <t>údržba, opravy buldozéra</t>
  </si>
  <si>
    <t>v tom:mzdy - zdroj ŠR § 50j</t>
  </si>
  <si>
    <t>služby - LSS</t>
  </si>
  <si>
    <t>Služby, dohody</t>
  </si>
  <si>
    <t>08.3.0 Vysielacie a vydavateľské služby</t>
  </si>
  <si>
    <t>všeobecné služby (TV)</t>
  </si>
  <si>
    <t>nákup konvektomatu/digestor</t>
  </si>
  <si>
    <t>odmeny pracovníkom mimo prac.pomeru</t>
  </si>
  <si>
    <t>nákup softwéru - pasport MK, cintorínov</t>
  </si>
  <si>
    <t>prevádzkové stroje a zariadenia-čerpadlo ČOV</t>
  </si>
  <si>
    <t>prístrešok KD</t>
  </si>
  <si>
    <t>v tom: dotácia</t>
  </si>
  <si>
    <t>09.6.0 Vedľajšie služby v školstve</t>
  </si>
  <si>
    <t>zábezpeky</t>
  </si>
  <si>
    <t>výdavky rozpočtových organizácií</t>
  </si>
  <si>
    <t>dotácia zo ŠR</t>
  </si>
  <si>
    <t>doplatok k výdavkom ZŠ VJM</t>
  </si>
  <si>
    <t>MRRaI SR (WIFI)</t>
  </si>
  <si>
    <t>zostatky z predch.rokov - strav. MPSVaR SR</t>
  </si>
  <si>
    <t>návratná FP - kompemzácia výpadku DPFO</t>
  </si>
  <si>
    <t>dotácia asistenti učiteľa (EŠIF)</t>
  </si>
  <si>
    <t>odchodné</t>
  </si>
  <si>
    <t>vratka zo SP -covid</t>
  </si>
  <si>
    <t>dobropisy (energie)</t>
  </si>
  <si>
    <t>refundácia výdavkov COVID</t>
  </si>
  <si>
    <t>propagácia, reklama a inzercia (WEB)</t>
  </si>
  <si>
    <t>vrátenie príjmov z mr (strava UPSVaR)</t>
  </si>
  <si>
    <t>mylné platby</t>
  </si>
  <si>
    <t>032.</t>
  </si>
  <si>
    <t>prac.odevy, obuv a prac.pomôcky</t>
  </si>
  <si>
    <t>Služby KO</t>
  </si>
  <si>
    <t>služby zberný dvor</t>
  </si>
  <si>
    <t>Mzdy, platy, sl.príjmy a ost.os.vyrovnania-asist.</t>
  </si>
  <si>
    <t>depozit z roku 2019</t>
  </si>
  <si>
    <t>soc. prac.</t>
  </si>
  <si>
    <t>prístavba HZ - rezervný fond</t>
  </si>
  <si>
    <t>rekonštrukcia - komunikácie</t>
  </si>
  <si>
    <t>Wifi</t>
  </si>
  <si>
    <t>08.1.0.</t>
  </si>
  <si>
    <t>prístavba MŠ - z rezervného fondu</t>
  </si>
  <si>
    <t>Rekonštrukcia multifunkčné ihrisko, detské ihrisko ZŠ dopl. 3759 € ZŠ</t>
  </si>
  <si>
    <t>Splácanie istiny z bankových úverov - vlastné prostriedky</t>
  </si>
  <si>
    <t>Splácanie istiny z bankových úverov - kanalizácia-dotácia</t>
  </si>
  <si>
    <t>MPSVaR SR - soc. asistentky</t>
  </si>
  <si>
    <t>zostatky z predch.rokov - depozit RO</t>
  </si>
  <si>
    <t>I. úprava 2021</t>
  </si>
  <si>
    <t xml:space="preserve"> I.úprava 2021</t>
  </si>
  <si>
    <t>Dotácia na voľby,SODB</t>
  </si>
  <si>
    <t>dotácia - testovanie COVID-19</t>
  </si>
  <si>
    <t>zostatky z predch. rokov-odmeny soc.prac.</t>
  </si>
  <si>
    <t>zostatky z predch. rokov - SODB</t>
  </si>
  <si>
    <t>zostatok SF</t>
  </si>
  <si>
    <t>Bankové úvery dlhodobé Prima banka</t>
  </si>
  <si>
    <t>Odmeny a príspevky-voľby, SODB</t>
  </si>
  <si>
    <t>mzdy, platy, - odmeny soc.prac.</t>
  </si>
  <si>
    <t>mzdy, platy,- odmeny soc.prac.</t>
  </si>
  <si>
    <t xml:space="preserve">realizácia CIZS - </t>
  </si>
  <si>
    <t>realizácia CIZS-5%</t>
  </si>
  <si>
    <t>rekonštrukcia - betonovanie</t>
  </si>
  <si>
    <t>odchodné,odstupné</t>
  </si>
  <si>
    <t>úverový poplatok</t>
  </si>
  <si>
    <t>Odmeny, stravovanie, občerstv.,ochr.pomôcky-testovanie</t>
  </si>
  <si>
    <t>realizácia CIZS-neoprávnené výdavky (B)</t>
  </si>
  <si>
    <t>realizácia CIZS - práce naviac  (C) z úveru</t>
  </si>
  <si>
    <t xml:space="preserve">granty - nadácia ZSE, </t>
  </si>
  <si>
    <t>Nadácia Alianz - spomaľ</t>
  </si>
  <si>
    <t>RO</t>
  </si>
  <si>
    <t>MPSVaR SR - rozvojový projekt "Predškoláci 2021"</t>
  </si>
  <si>
    <t>dotácia COVID ochr.prostriedky,digit.,dinšt.vzd.,testov.</t>
  </si>
  <si>
    <t>dotácia "Čítame radi"</t>
  </si>
  <si>
    <t>dotácia RP "Letná škola"</t>
  </si>
  <si>
    <t>ochr.pomôcky COVIID, testov.</t>
  </si>
  <si>
    <t>Prev.zariadenie -merač rýchlosti</t>
  </si>
  <si>
    <t>vtom grant Nadácia ALIANZ</t>
  </si>
  <si>
    <t>nezúčtované výbery 18000+6160</t>
  </si>
  <si>
    <t>kvôli PN</t>
  </si>
  <si>
    <t>Služby CIZS</t>
  </si>
  <si>
    <t>osobný automobil</t>
  </si>
  <si>
    <t>z účtu obce</t>
  </si>
  <si>
    <t>granty, nadácia ZSE</t>
  </si>
  <si>
    <t>VT CIZS, prev.zariad.</t>
  </si>
  <si>
    <t>Interiérové vybavenie zdr.str.,prev.stroje</t>
  </si>
  <si>
    <t>Odchodné</t>
  </si>
  <si>
    <t>odchodné, odstupné</t>
  </si>
  <si>
    <t>rozvojový projekt"Predškoláci 2021"</t>
  </si>
  <si>
    <t>ročné zúčtžovanie ZP</t>
  </si>
  <si>
    <t>dotácia "dajme spolu gól"</t>
  </si>
  <si>
    <t>projekt "dajme spolu gól"</t>
  </si>
  <si>
    <t>refundácia nákladov</t>
  </si>
  <si>
    <t>prljekt"Čítame radi"</t>
  </si>
  <si>
    <t>projekt "NSK"</t>
  </si>
  <si>
    <t>projekt " Letná škola"</t>
  </si>
  <si>
    <t>COVID-19</t>
  </si>
  <si>
    <t xml:space="preserve">odmeny </t>
  </si>
  <si>
    <t>ŠKD 33052</t>
  </si>
  <si>
    <t>ŠKD 11568</t>
  </si>
  <si>
    <t>dopl. 34674</t>
  </si>
  <si>
    <t>MPSVaR SR - projekt</t>
  </si>
  <si>
    <t>rozvojový projekt</t>
  </si>
  <si>
    <t>1254 O</t>
  </si>
  <si>
    <t>II. úprava 2021</t>
  </si>
  <si>
    <t>I. úprava rozpočtu</t>
  </si>
  <si>
    <t xml:space="preserve"> II.úprava 2021</t>
  </si>
  <si>
    <t>II.úprava rozpočtu</t>
  </si>
  <si>
    <t>Výdavky rozpočtu obce Tekovské Lužany na roky 2021 - 2024</t>
  </si>
  <si>
    <t>projekt MPC</t>
  </si>
  <si>
    <t>projekt NSK</t>
  </si>
  <si>
    <t xml:space="preserve">dobropisy, doplatok k výdavkom  </t>
  </si>
  <si>
    <t>??</t>
  </si>
  <si>
    <t>900 OOP</t>
  </si>
  <si>
    <t>dotácia - prev.náklady</t>
  </si>
  <si>
    <t>510 OOP</t>
  </si>
  <si>
    <t>Detské ihrisko pri ZŠ</t>
  </si>
  <si>
    <t>Prepravné,družobné návštevy</t>
  </si>
  <si>
    <t>v tom dotácia</t>
  </si>
  <si>
    <t>zavlažovací systém, workoutové ihrisko</t>
  </si>
  <si>
    <t>budov, priestorov a objektov (COOP, Global)</t>
  </si>
  <si>
    <t>odstupné, odchodné</t>
  </si>
  <si>
    <t>Palivá, mazivá a oleje-Forterra, JCB</t>
  </si>
  <si>
    <t>Palivá, mazivá, oleje- Landini</t>
  </si>
  <si>
    <t>dotácia - odmeny soc,pracovníkom</t>
  </si>
  <si>
    <t>SFZ (zavlažovací systém)DRP-workoutové ihrisko</t>
  </si>
  <si>
    <t>zostotok has.zbr.</t>
  </si>
  <si>
    <t>dotlácia - asistent učiteľa</t>
  </si>
  <si>
    <t>z dobropisov, RZ ZP</t>
  </si>
  <si>
    <t>v tom. dotácia z envirom.fondu</t>
  </si>
  <si>
    <t>Enviromentálny fond-tech.vybav. - zberný dvor</t>
  </si>
  <si>
    <t>Konvektomat šj</t>
  </si>
  <si>
    <t xml:space="preserve">RO </t>
  </si>
  <si>
    <t>zaúčtovaný zostatok ZŠ</t>
  </si>
  <si>
    <t>2019   S</t>
  </si>
  <si>
    <t>2020 S</t>
  </si>
  <si>
    <t>odmeny a príspevky</t>
  </si>
  <si>
    <t>S2019</t>
  </si>
  <si>
    <t>S2020</t>
  </si>
  <si>
    <t>R2021</t>
  </si>
  <si>
    <t>S2021</t>
  </si>
  <si>
    <t xml:space="preserve">Predaj služieb </t>
  </si>
  <si>
    <t>Predaj služieb - KO minulé roky</t>
  </si>
  <si>
    <t>testovanie COVID</t>
  </si>
  <si>
    <t>dotácia - európa obyvateľom/nadácia ZSE</t>
  </si>
  <si>
    <t>Dotácia na voľby/SODB</t>
  </si>
  <si>
    <t>nadácia Allianz</t>
  </si>
  <si>
    <t>Envirofond</t>
  </si>
  <si>
    <t>ÚV SR - MFI/wifi</t>
  </si>
  <si>
    <t>SFZ - zavlažovanie ihriska/DRP_workout</t>
  </si>
  <si>
    <t>detské ihrisko ZŠ</t>
  </si>
  <si>
    <t>zostatky z predch.rokov - zábezpeky</t>
  </si>
  <si>
    <t>zostatky z predch.rokov - odmeny soc.prac.</t>
  </si>
  <si>
    <t>zostatky z predch.rokov - SODB</t>
  </si>
  <si>
    <t>zostatky z predch.rokov - stravné MPSVR</t>
  </si>
  <si>
    <t>zostatok z predch.rokov - HZ</t>
  </si>
  <si>
    <t>1.8</t>
  </si>
  <si>
    <t>zostatky z predch.rokov</t>
  </si>
  <si>
    <t>1.9</t>
  </si>
  <si>
    <t>zostatky z predch. Rokov -depozit ZŠ</t>
  </si>
  <si>
    <t>1.10</t>
  </si>
  <si>
    <t>1.11</t>
  </si>
  <si>
    <t>1.12</t>
  </si>
  <si>
    <t>1.13</t>
  </si>
  <si>
    <t>iné PFO - zábezpeky</t>
  </si>
  <si>
    <t>1.14</t>
  </si>
  <si>
    <t>1.15</t>
  </si>
  <si>
    <t>1.16</t>
  </si>
  <si>
    <t>Ostatné úvery a návratné finančné výp.</t>
  </si>
  <si>
    <t>2021S</t>
  </si>
  <si>
    <t>poplatky za zber a uloženie komunálneho odpadu</t>
  </si>
  <si>
    <t>2.13</t>
  </si>
  <si>
    <t>2021R</t>
  </si>
  <si>
    <t>vrátenie zábezpeky</t>
  </si>
  <si>
    <t>Odmeny a príspevky - testovanie COVID</t>
  </si>
  <si>
    <t>nákup vozidla</t>
  </si>
  <si>
    <t>prístavba hasičskej zbrojnice</t>
  </si>
  <si>
    <t>Kamerový systém + merač rýchlosti</t>
  </si>
  <si>
    <t>splácanie istiny z banlvých úverov - dotácia</t>
  </si>
  <si>
    <t>splácanie istiny z banlvých úverov - vlastné zdroje</t>
  </si>
  <si>
    <t>wifi</t>
  </si>
  <si>
    <t>KD</t>
  </si>
  <si>
    <t>závlaha, workout</t>
  </si>
  <si>
    <t>odstupné</t>
  </si>
  <si>
    <t>Aktivita č.4</t>
  </si>
  <si>
    <t>Vysielacie a vydavateľské služby</t>
  </si>
  <si>
    <t>08.3.0.</t>
  </si>
  <si>
    <t>telocvičňa</t>
  </si>
  <si>
    <t>COVID</t>
  </si>
  <si>
    <t>Výdavky rozpočtových organizácií</t>
  </si>
  <si>
    <t>2019S</t>
  </si>
  <si>
    <t>2020S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</si>
</sst>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S_k_-;\-* #,##0.00\ _S_k_-;_-* &quot;-&quot;??\ _S_k_-;_-@_-"/>
    <numFmt numFmtId="165" formatCode="_-* #,##0.00,_S_k_-;\-* #,##0.00,_S_k_-;_-* \-??\ _S_k_-;_-@_-"/>
    <numFmt numFmtId="166" formatCode="_-* #,##0.00&quot; €&quot;_-;\-* #,##0.00&quot; €&quot;_-;_-* \-??&quot; €&quot;_-;_-@_-"/>
    <numFmt numFmtId="167" formatCode="#,##0.0"/>
    <numFmt numFmtId="168" formatCode="0.0"/>
    <numFmt numFmtId="169" formatCode="#,##0;\-#,##0"/>
    <numFmt numFmtId="170" formatCode="#,##0.00;\-#,##0.00"/>
    <numFmt numFmtId="171" formatCode="_-* #,##0\ _S_k_-;\-* #,##0\ _S_k_-;_-* &quot;-&quot;??\ _S_k_-;_-@_-"/>
  </numFmts>
  <fonts count="13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 CE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8"/>
      <color indexed="56"/>
      <name val="Cambria"/>
      <family val="2"/>
      <charset val="238"/>
    </font>
    <font>
      <b/>
      <sz val="14"/>
      <color indexed="10"/>
      <name val="Tahoma"/>
      <family val="2"/>
      <charset val="238"/>
    </font>
    <font>
      <b/>
      <sz val="12"/>
      <name val="Tahoma"/>
      <family val="2"/>
      <charset val="238"/>
    </font>
    <font>
      <b/>
      <sz val="12"/>
      <name val="Arial"/>
      <family val="2"/>
      <charset val="238"/>
    </font>
    <font>
      <sz val="12"/>
      <name val="Tahoma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i/>
      <sz val="12"/>
      <name val="Tahoma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8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color indexed="17"/>
      <name val="Arial CE"/>
      <family val="2"/>
      <charset val="238"/>
    </font>
    <font>
      <sz val="8"/>
      <color indexed="8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color indexed="57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indexed="10"/>
      <name val="Arial CE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9"/>
      <name val="Arial"/>
      <family val="2"/>
      <charset val="238"/>
    </font>
    <font>
      <b/>
      <i/>
      <sz val="11"/>
      <name val="Arial"/>
      <family val="2"/>
      <charset val="238"/>
    </font>
    <font>
      <sz val="8"/>
      <color indexed="12"/>
      <name val="Arial"/>
      <family val="2"/>
      <charset val="238"/>
    </font>
    <font>
      <b/>
      <sz val="8"/>
      <color indexed="12"/>
      <name val="Arial"/>
      <family val="2"/>
      <charset val="238"/>
    </font>
    <font>
      <i/>
      <sz val="11"/>
      <name val="Arial"/>
      <family val="2"/>
      <charset val="238"/>
    </font>
    <font>
      <i/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i/>
      <sz val="8"/>
      <color indexed="12"/>
      <name val="Arial CE"/>
      <family val="2"/>
      <charset val="238"/>
    </font>
    <font>
      <sz val="9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48"/>
      <name val="Arial CE"/>
      <family val="2"/>
      <charset val="238"/>
    </font>
    <font>
      <b/>
      <sz val="8"/>
      <color indexed="57"/>
      <name val="Arial CE"/>
      <family val="2"/>
      <charset val="238"/>
    </font>
    <font>
      <b/>
      <sz val="8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b/>
      <i/>
      <sz val="8"/>
      <color indexed="57"/>
      <name val="Arial CE"/>
      <family val="2"/>
      <charset val="238"/>
    </font>
    <font>
      <b/>
      <i/>
      <sz val="10"/>
      <color indexed="57"/>
      <name val="Arial CE"/>
      <family val="2"/>
      <charset val="238"/>
    </font>
    <font>
      <sz val="8"/>
      <color indexed="17"/>
      <name val="Arial CE"/>
      <family val="2"/>
      <charset val="238"/>
    </font>
    <font>
      <i/>
      <sz val="10"/>
      <color indexed="12"/>
      <name val="Arial CE"/>
      <family val="2"/>
      <charset val="238"/>
    </font>
    <font>
      <i/>
      <sz val="8"/>
      <color indexed="48"/>
      <name val="Arial CE"/>
      <family val="2"/>
      <charset val="238"/>
    </font>
    <font>
      <b/>
      <i/>
      <sz val="10"/>
      <color indexed="12"/>
      <name val="Arial CE"/>
      <family val="2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i/>
      <sz val="11"/>
      <name val="Arial CE"/>
      <family val="2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8"/>
      <color indexed="30"/>
      <name val="Arial CE"/>
      <family val="2"/>
      <charset val="238"/>
    </font>
    <font>
      <sz val="8"/>
      <color indexed="62"/>
      <name val="Arial CE"/>
      <charset val="238"/>
    </font>
    <font>
      <sz val="8"/>
      <color indexed="56"/>
      <name val="Arial CE"/>
      <family val="2"/>
      <charset val="238"/>
    </font>
    <font>
      <sz val="8"/>
      <color indexed="56"/>
      <name val="Arial CE"/>
      <charset val="238"/>
    </font>
    <font>
      <sz val="8"/>
      <color indexed="12"/>
      <name val="Arial"/>
      <family val="2"/>
      <charset val="238"/>
    </font>
    <font>
      <sz val="8"/>
      <color indexed="12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u/>
      <sz val="8"/>
      <name val="Arial"/>
      <family val="2"/>
      <charset val="238"/>
    </font>
    <font>
      <u/>
      <sz val="8"/>
      <name val="Arial"/>
      <family val="2"/>
      <charset val="238"/>
    </font>
    <font>
      <b/>
      <u/>
      <sz val="9"/>
      <name val="Arial"/>
      <family val="2"/>
      <charset val="238"/>
    </font>
    <font>
      <sz val="8"/>
      <color indexed="12"/>
      <name val="Arial CE"/>
      <charset val="238"/>
    </font>
    <font>
      <i/>
      <sz val="9"/>
      <name val="Arial CE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vertAlign val="superscript"/>
      <sz val="8"/>
      <name val="Tahoma"/>
      <family val="2"/>
      <charset val="238"/>
    </font>
    <font>
      <sz val="8"/>
      <color indexed="48"/>
      <name val="Arial CE"/>
      <charset val="238"/>
    </font>
    <font>
      <b/>
      <sz val="9"/>
      <name val="Tahoma"/>
      <family val="2"/>
      <charset val="238"/>
    </font>
    <font>
      <i/>
      <sz val="8"/>
      <name val="Arial CE"/>
      <charset val="238"/>
    </font>
    <font>
      <b/>
      <i/>
      <sz val="8"/>
      <name val="Arial CE"/>
      <charset val="238"/>
    </font>
    <font>
      <sz val="8"/>
      <color indexed="30"/>
      <name val="Arial CE"/>
      <family val="2"/>
      <charset val="238"/>
    </font>
    <font>
      <b/>
      <sz val="8"/>
      <color indexed="17"/>
      <name val="Arial CE"/>
      <charset val="238"/>
    </font>
    <font>
      <b/>
      <i/>
      <sz val="8"/>
      <color indexed="17"/>
      <name val="Arial CE"/>
      <charset val="238"/>
    </font>
    <font>
      <sz val="8"/>
      <color indexed="30"/>
      <name val="Arial CE"/>
      <charset val="238"/>
    </font>
    <font>
      <b/>
      <sz val="8"/>
      <color indexed="30"/>
      <name val="Arial CE"/>
      <charset val="238"/>
    </font>
    <font>
      <b/>
      <sz val="8"/>
      <color indexed="17"/>
      <name val="Arial"/>
      <family val="2"/>
      <charset val="238"/>
    </font>
    <font>
      <sz val="8"/>
      <color indexed="12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8"/>
      <color indexed="17"/>
      <name val="Arial CE"/>
      <charset val="238"/>
    </font>
    <font>
      <b/>
      <sz val="8"/>
      <color indexed="17"/>
      <name val="Arial CE"/>
      <family val="2"/>
      <charset val="238"/>
    </font>
    <font>
      <b/>
      <sz val="9"/>
      <color indexed="30"/>
      <name val="Arial"/>
      <family val="2"/>
      <charset val="238"/>
    </font>
    <font>
      <sz val="8"/>
      <color indexed="10"/>
      <name val="Arial"/>
      <family val="2"/>
      <charset val="238"/>
    </font>
    <font>
      <i/>
      <sz val="8"/>
      <color indexed="30"/>
      <name val="Arial CE"/>
      <charset val="238"/>
    </font>
    <font>
      <b/>
      <sz val="8"/>
      <color indexed="17"/>
      <name val="Arial"/>
      <family val="2"/>
      <charset val="238"/>
    </font>
    <font>
      <sz val="8"/>
      <color indexed="30"/>
      <name val="Arial CE"/>
      <family val="2"/>
      <charset val="238"/>
    </font>
    <font>
      <sz val="8"/>
      <color indexed="30"/>
      <name val="Arial"/>
      <family val="2"/>
      <charset val="238"/>
    </font>
    <font>
      <sz val="8"/>
      <color indexed="17"/>
      <name val="Arial CE"/>
      <family val="2"/>
      <charset val="238"/>
    </font>
    <font>
      <i/>
      <sz val="8"/>
      <color indexed="12"/>
      <name val="Arial CE"/>
      <charset val="238"/>
    </font>
    <font>
      <b/>
      <sz val="8"/>
      <color indexed="10"/>
      <name val="Arial CE"/>
      <charset val="238"/>
    </font>
    <font>
      <b/>
      <sz val="8"/>
      <color indexed="10"/>
      <name val="Arial"/>
      <family val="2"/>
      <charset val="238"/>
    </font>
    <font>
      <sz val="8"/>
      <color indexed="10"/>
      <name val="Arial CE"/>
      <charset val="238"/>
    </font>
    <font>
      <sz val="8"/>
      <color indexed="10"/>
      <name val="Arial CE"/>
      <family val="2"/>
      <charset val="238"/>
    </font>
    <font>
      <sz val="8"/>
      <color theme="7" tint="-0.249977111117893"/>
      <name val="Arial"/>
      <family val="2"/>
      <charset val="238"/>
    </font>
    <font>
      <b/>
      <sz val="8"/>
      <color rgb="FF00B050"/>
      <name val="Arial"/>
      <family val="2"/>
      <charset val="238"/>
    </font>
    <font>
      <b/>
      <i/>
      <sz val="9"/>
      <name val="Arial CE"/>
      <charset val="238"/>
    </font>
    <font>
      <sz val="8"/>
      <color rgb="FF002060"/>
      <name val="Arial"/>
      <family val="2"/>
      <charset val="238"/>
    </font>
    <font>
      <sz val="7.5"/>
      <name val="Arial"/>
      <family val="2"/>
      <charset val="238"/>
    </font>
    <font>
      <sz val="8"/>
      <color theme="7" tint="-0.249977111117893"/>
      <name val="Arial CE"/>
      <charset val="238"/>
    </font>
    <font>
      <sz val="8"/>
      <color theme="7" tint="-0.249977111117893"/>
      <name val="Arial CE"/>
      <family val="2"/>
      <charset val="238"/>
    </font>
    <font>
      <sz val="10"/>
      <color theme="7" tint="-0.249977111117893"/>
      <name val="Arial CE"/>
      <family val="2"/>
      <charset val="238"/>
    </font>
    <font>
      <i/>
      <sz val="10"/>
      <color theme="7" tint="-0.249977111117893"/>
      <name val="Arial CE"/>
      <family val="2"/>
      <charset val="238"/>
    </font>
    <font>
      <sz val="8"/>
      <color theme="8" tint="-0.249977111117893"/>
      <name val="Arial"/>
      <family val="2"/>
      <charset val="238"/>
    </font>
  </fonts>
  <fills count="6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22"/>
      </patternFill>
    </fill>
    <fill>
      <patternFill patternType="solid">
        <fgColor indexed="29"/>
        <bgColor indexed="22"/>
      </patternFill>
    </fill>
    <fill>
      <patternFill patternType="solid">
        <fgColor indexed="50"/>
        <bgColor indexed="22"/>
      </patternFill>
    </fill>
    <fill>
      <patternFill patternType="solid">
        <fgColor indexed="43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29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26"/>
      </patternFill>
    </fill>
    <fill>
      <patternFill patternType="solid">
        <fgColor rgb="FFFFFFCC"/>
        <bgColor indexed="9"/>
      </patternFill>
    </fill>
    <fill>
      <patternFill patternType="solid">
        <fgColor rgb="FFFFFFCC"/>
        <bgColor indexed="27"/>
      </patternFill>
    </fill>
    <fill>
      <patternFill patternType="solid">
        <fgColor rgb="FFFFFFCC"/>
        <bgColor indexed="41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22"/>
      </patternFill>
    </fill>
    <fill>
      <patternFill patternType="solid">
        <fgColor rgb="FFCCFFCC"/>
        <bgColor indexed="27"/>
      </patternFill>
    </fill>
    <fill>
      <patternFill patternType="solid">
        <fgColor theme="4" tint="0.39997558519241921"/>
        <bgColor indexed="2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99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31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6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164" fontId="1" fillId="0" borderId="0" applyFill="0" applyBorder="0" applyAlignment="0" applyProtection="0"/>
    <xf numFmtId="165" fontId="6" fillId="0" borderId="0" applyFill="0" applyAlignment="0" applyProtection="0"/>
    <xf numFmtId="0" fontId="7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2" fillId="24" borderId="5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2" fillId="24" borderId="5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166" fontId="83" fillId="0" borderId="0" applyFill="0" applyBorder="0" applyAlignment="0" applyProtection="0"/>
    <xf numFmtId="0" fontId="15" fillId="0" borderId="7" applyNumberFormat="0" applyFill="0" applyAlignment="0" applyProtection="0"/>
    <xf numFmtId="0" fontId="16" fillId="0" borderId="3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6" fillId="0" borderId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6" fillId="9" borderId="9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83" fillId="9" borderId="9" applyNumberFormat="0" applyAlignment="0" applyProtection="0"/>
    <xf numFmtId="0" fontId="14" fillId="0" borderId="6" applyNumberFormat="0" applyFill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13" fillId="7" borderId="1" applyNumberFormat="0" applyAlignment="0" applyProtection="0"/>
    <xf numFmtId="0" fontId="5" fillId="14" borderId="1" applyNumberFormat="0" applyAlignment="0" applyProtection="0"/>
    <xf numFmtId="0" fontId="19" fillId="14" borderId="10" applyNumberFormat="0" applyAlignment="0" applyProtection="0"/>
    <xf numFmtId="0" fontId="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3" fillId="25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</cellStyleXfs>
  <cellXfs count="38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center"/>
    </xf>
    <xf numFmtId="0" fontId="27" fillId="0" borderId="0" xfId="0" applyFont="1"/>
    <xf numFmtId="0" fontId="28" fillId="0" borderId="0" xfId="0" applyFont="1" applyAlignment="1">
      <alignment horizontal="right"/>
    </xf>
    <xf numFmtId="49" fontId="27" fillId="0" borderId="0" xfId="0" applyNumberFormat="1" applyFont="1" applyAlignment="1">
      <alignment horizontal="center"/>
    </xf>
    <xf numFmtId="49" fontId="27" fillId="0" borderId="0" xfId="0" applyNumberFormat="1" applyFont="1"/>
    <xf numFmtId="49" fontId="0" fillId="0" borderId="0" xfId="0" applyNumberFormat="1" applyAlignment="1">
      <alignment horizontal="right"/>
    </xf>
    <xf numFmtId="0" fontId="29" fillId="0" borderId="0" xfId="0" applyFont="1" applyBorder="1"/>
    <xf numFmtId="3" fontId="30" fillId="0" borderId="0" xfId="0" applyNumberFormat="1" applyFont="1" applyBorder="1" applyAlignment="1">
      <alignment horizontal="right"/>
    </xf>
    <xf numFmtId="49" fontId="29" fillId="0" borderId="0" xfId="0" applyNumberFormat="1" applyFont="1" applyAlignment="1">
      <alignment horizontal="center"/>
    </xf>
    <xf numFmtId="0" fontId="29" fillId="0" borderId="0" xfId="0" applyFont="1"/>
    <xf numFmtId="3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6" fillId="0" borderId="0" xfId="569" applyFont="1" applyBorder="1"/>
    <xf numFmtId="0" fontId="31" fillId="0" borderId="0" xfId="569" applyFont="1" applyBorder="1"/>
    <xf numFmtId="2" fontId="6" fillId="0" borderId="0" xfId="569" applyNumberFormat="1" applyFont="1" applyBorder="1" applyAlignment="1">
      <alignment horizontal="center"/>
    </xf>
    <xf numFmtId="3" fontId="6" fillId="0" borderId="0" xfId="569" applyNumberFormat="1" applyFont="1" applyBorder="1"/>
    <xf numFmtId="0" fontId="6" fillId="0" borderId="0" xfId="569" applyFont="1" applyFill="1" applyBorder="1"/>
    <xf numFmtId="4" fontId="6" fillId="0" borderId="0" xfId="569" applyNumberFormat="1" applyFont="1" applyFill="1" applyBorder="1"/>
    <xf numFmtId="0" fontId="32" fillId="0" borderId="0" xfId="569" applyFont="1" applyFill="1" applyBorder="1" applyAlignment="1"/>
    <xf numFmtId="0" fontId="32" fillId="0" borderId="0" xfId="569" applyFont="1" applyBorder="1" applyAlignment="1">
      <alignment horizontal="center"/>
    </xf>
    <xf numFmtId="0" fontId="31" fillId="0" borderId="0" xfId="569" applyFont="1" applyBorder="1" applyAlignment="1">
      <alignment horizontal="center"/>
    </xf>
    <xf numFmtId="2" fontId="32" fillId="0" borderId="0" xfId="569" applyNumberFormat="1" applyFont="1" applyFill="1" applyBorder="1" applyAlignment="1"/>
    <xf numFmtId="2" fontId="32" fillId="0" borderId="0" xfId="569" applyNumberFormat="1" applyFont="1" applyFill="1" applyBorder="1" applyAlignment="1">
      <alignment horizontal="center"/>
    </xf>
    <xf numFmtId="3" fontId="32" fillId="0" borderId="0" xfId="569" applyNumberFormat="1" applyFont="1" applyFill="1" applyBorder="1" applyAlignment="1">
      <alignment horizontal="center"/>
    </xf>
    <xf numFmtId="4" fontId="32" fillId="0" borderId="0" xfId="569" applyNumberFormat="1" applyFont="1" applyFill="1" applyBorder="1" applyAlignment="1">
      <alignment horizontal="center"/>
    </xf>
    <xf numFmtId="0" fontId="31" fillId="7" borderId="13" xfId="569" applyFont="1" applyFill="1" applyBorder="1"/>
    <xf numFmtId="2" fontId="31" fillId="0" borderId="0" xfId="569" applyNumberFormat="1" applyFont="1" applyFill="1" applyBorder="1" applyAlignment="1">
      <alignment horizontal="justify" vertical="center"/>
    </xf>
    <xf numFmtId="4" fontId="31" fillId="0" borderId="0" xfId="569" applyNumberFormat="1" applyFont="1" applyFill="1" applyBorder="1" applyAlignment="1">
      <alignment horizontal="justify" vertical="top"/>
    </xf>
    <xf numFmtId="4" fontId="35" fillId="0" borderId="0" xfId="569" applyNumberFormat="1" applyFont="1" applyFill="1" applyBorder="1" applyAlignment="1">
      <alignment horizontal="right" vertical="top"/>
    </xf>
    <xf numFmtId="4" fontId="35" fillId="0" borderId="0" xfId="569" applyNumberFormat="1" applyFont="1" applyFill="1" applyBorder="1" applyAlignment="1">
      <alignment horizontal="center" vertical="top"/>
    </xf>
    <xf numFmtId="0" fontId="33" fillId="0" borderId="0" xfId="569" applyFont="1" applyBorder="1"/>
    <xf numFmtId="0" fontId="36" fillId="0" borderId="16" xfId="569" applyFont="1" applyFill="1" applyBorder="1"/>
    <xf numFmtId="0" fontId="36" fillId="0" borderId="17" xfId="569" applyFont="1" applyFill="1" applyBorder="1"/>
    <xf numFmtId="3" fontId="37" fillId="0" borderId="18" xfId="569" applyNumberFormat="1" applyFont="1" applyFill="1" applyBorder="1" applyAlignment="1">
      <alignment horizontal="right"/>
    </xf>
    <xf numFmtId="3" fontId="36" fillId="0" borderId="18" xfId="569" applyNumberFormat="1" applyFont="1" applyFill="1" applyBorder="1" applyAlignment="1">
      <alignment horizontal="right"/>
    </xf>
    <xf numFmtId="4" fontId="37" fillId="0" borderId="0" xfId="569" applyNumberFormat="1" applyFont="1" applyFill="1" applyBorder="1" applyAlignment="1">
      <alignment horizontal="right"/>
    </xf>
    <xf numFmtId="4" fontId="37" fillId="0" borderId="0" xfId="569" applyNumberFormat="1" applyFont="1" applyFill="1" applyBorder="1" applyAlignment="1">
      <alignment horizontal="center"/>
    </xf>
    <xf numFmtId="0" fontId="6" fillId="0" borderId="0" xfId="569" applyFill="1" applyBorder="1"/>
    <xf numFmtId="0" fontId="36" fillId="0" borderId="16" xfId="569" applyFont="1" applyBorder="1"/>
    <xf numFmtId="0" fontId="36" fillId="0" borderId="17" xfId="569" applyFont="1" applyBorder="1"/>
    <xf numFmtId="3" fontId="36" fillId="0" borderId="19" xfId="569" applyNumberFormat="1" applyFont="1" applyBorder="1" applyAlignment="1">
      <alignment horizontal="right"/>
    </xf>
    <xf numFmtId="3" fontId="37" fillId="0" borderId="19" xfId="569" applyNumberFormat="1" applyFont="1" applyBorder="1" applyAlignment="1">
      <alignment horizontal="right"/>
    </xf>
    <xf numFmtId="4" fontId="36" fillId="0" borderId="0" xfId="569" applyNumberFormat="1" applyFont="1" applyFill="1" applyBorder="1" applyAlignment="1">
      <alignment horizontal="right"/>
    </xf>
    <xf numFmtId="4" fontId="36" fillId="0" borderId="0" xfId="569" applyNumberFormat="1" applyFont="1" applyFill="1" applyBorder="1" applyAlignment="1">
      <alignment horizontal="center"/>
    </xf>
    <xf numFmtId="4" fontId="38" fillId="0" borderId="0" xfId="569" applyNumberFormat="1" applyFont="1" applyFill="1" applyBorder="1" applyAlignment="1">
      <alignment horizontal="left"/>
    </xf>
    <xf numFmtId="3" fontId="36" fillId="0" borderId="18" xfId="569" applyNumberFormat="1" applyFont="1" applyBorder="1"/>
    <xf numFmtId="3" fontId="36" fillId="0" borderId="18" xfId="569" applyNumberFormat="1" applyFont="1" applyBorder="1" applyAlignment="1">
      <alignment horizontal="right"/>
    </xf>
    <xf numFmtId="3" fontId="37" fillId="0" borderId="18" xfId="569" applyNumberFormat="1" applyFont="1" applyBorder="1"/>
    <xf numFmtId="4" fontId="39" fillId="0" borderId="0" xfId="569" applyNumberFormat="1" applyFont="1" applyBorder="1" applyAlignment="1">
      <alignment horizontal="left"/>
    </xf>
    <xf numFmtId="0" fontId="36" fillId="0" borderId="0" xfId="569" applyFont="1" applyBorder="1"/>
    <xf numFmtId="3" fontId="36" fillId="0" borderId="0" xfId="569" applyNumberFormat="1" applyFont="1" applyBorder="1"/>
    <xf numFmtId="3" fontId="36" fillId="0" borderId="0" xfId="569" applyNumberFormat="1" applyFont="1" applyBorder="1" applyAlignment="1">
      <alignment horizontal="center"/>
    </xf>
    <xf numFmtId="3" fontId="37" fillId="0" borderId="0" xfId="569" applyNumberFormat="1" applyFont="1" applyBorder="1"/>
    <xf numFmtId="4" fontId="36" fillId="0" borderId="0" xfId="569" applyNumberFormat="1" applyFont="1" applyBorder="1" applyAlignment="1">
      <alignment horizontal="center"/>
    </xf>
    <xf numFmtId="3" fontId="36" fillId="0" borderId="0" xfId="569" applyNumberFormat="1" applyFont="1" applyBorder="1" applyAlignment="1">
      <alignment horizontal="right"/>
    </xf>
    <xf numFmtId="4" fontId="35" fillId="0" borderId="0" xfId="569" applyNumberFormat="1" applyFont="1" applyFill="1" applyBorder="1" applyAlignment="1">
      <alignment horizontal="center"/>
    </xf>
    <xf numFmtId="0" fontId="33" fillId="0" borderId="0" xfId="569" applyFont="1" applyFill="1" applyBorder="1"/>
    <xf numFmtId="3" fontId="37" fillId="0" borderId="18" xfId="569" applyNumberFormat="1" applyFont="1" applyBorder="1" applyAlignment="1">
      <alignment horizontal="right"/>
    </xf>
    <xf numFmtId="0" fontId="6" fillId="0" borderId="0" xfId="569" applyBorder="1"/>
    <xf numFmtId="0" fontId="36" fillId="0" borderId="20" xfId="569" applyFont="1" applyBorder="1"/>
    <xf numFmtId="0" fontId="36" fillId="0" borderId="21" xfId="569" applyFont="1" applyFill="1" applyBorder="1"/>
    <xf numFmtId="0" fontId="36" fillId="0" borderId="0" xfId="569" applyFont="1" applyFill="1" applyBorder="1"/>
    <xf numFmtId="3" fontId="37" fillId="0" borderId="0" xfId="569" applyNumberFormat="1" applyFont="1" applyBorder="1" applyAlignment="1">
      <alignment horizontal="right"/>
    </xf>
    <xf numFmtId="2" fontId="36" fillId="0" borderId="0" xfId="569" applyNumberFormat="1" applyFont="1" applyBorder="1" applyAlignment="1">
      <alignment horizontal="center"/>
    </xf>
    <xf numFmtId="2" fontId="36" fillId="0" borderId="0" xfId="569" applyNumberFormat="1" applyFont="1" applyFill="1" applyBorder="1" applyAlignment="1">
      <alignment horizontal="center"/>
    </xf>
    <xf numFmtId="2" fontId="31" fillId="0" borderId="0" xfId="569" applyNumberFormat="1" applyFont="1" applyFill="1" applyBorder="1" applyAlignment="1">
      <alignment horizontal="center" vertical="center"/>
    </xf>
    <xf numFmtId="4" fontId="31" fillId="0" borderId="0" xfId="569" applyNumberFormat="1" applyFont="1" applyFill="1" applyBorder="1" applyAlignment="1">
      <alignment horizontal="center" vertical="top"/>
    </xf>
    <xf numFmtId="4" fontId="35" fillId="0" borderId="0" xfId="569" applyNumberFormat="1" applyFont="1" applyFill="1" applyBorder="1" applyAlignment="1">
      <alignment horizontal="right"/>
    </xf>
    <xf numFmtId="2" fontId="39" fillId="0" borderId="0" xfId="569" applyNumberFormat="1" applyFont="1" applyBorder="1" applyAlignment="1">
      <alignment horizontal="left"/>
    </xf>
    <xf numFmtId="3" fontId="36" fillId="0" borderId="0" xfId="569" applyNumberFormat="1" applyFont="1" applyFill="1" applyBorder="1"/>
    <xf numFmtId="3" fontId="37" fillId="0" borderId="0" xfId="569" applyNumberFormat="1" applyFont="1" applyFill="1" applyBorder="1"/>
    <xf numFmtId="3" fontId="36" fillId="0" borderId="22" xfId="569" applyNumberFormat="1" applyFont="1" applyFill="1" applyBorder="1" applyAlignment="1">
      <alignment horizontal="right"/>
    </xf>
    <xf numFmtId="3" fontId="36" fillId="0" borderId="22" xfId="569" applyNumberFormat="1" applyFont="1" applyBorder="1" applyAlignment="1">
      <alignment horizontal="right"/>
    </xf>
    <xf numFmtId="3" fontId="37" fillId="0" borderId="22" xfId="569" applyNumberFormat="1" applyFont="1" applyFill="1" applyBorder="1" applyAlignment="1">
      <alignment horizontal="right"/>
    </xf>
    <xf numFmtId="1" fontId="36" fillId="0" borderId="0" xfId="569" applyNumberFormat="1" applyFont="1" applyFill="1" applyBorder="1" applyAlignment="1">
      <alignment horizontal="left"/>
    </xf>
    <xf numFmtId="1" fontId="36" fillId="0" borderId="0" xfId="569" applyNumberFormat="1" applyFont="1" applyFill="1" applyBorder="1" applyAlignment="1">
      <alignment horizontal="right"/>
    </xf>
    <xf numFmtId="3" fontId="40" fillId="0" borderId="18" xfId="569" applyNumberFormat="1" applyFont="1" applyBorder="1" applyAlignment="1">
      <alignment horizontal="right"/>
    </xf>
    <xf numFmtId="2" fontId="41" fillId="0" borderId="0" xfId="569" applyNumberFormat="1" applyFont="1" applyBorder="1" applyAlignment="1">
      <alignment horizontal="left"/>
    </xf>
    <xf numFmtId="3" fontId="36" fillId="0" borderId="23" xfId="569" applyNumberFormat="1" applyFont="1" applyFill="1" applyBorder="1" applyAlignment="1">
      <alignment horizontal="right"/>
    </xf>
    <xf numFmtId="3" fontId="37" fillId="0" borderId="23" xfId="569" applyNumberFormat="1" applyFont="1" applyFill="1" applyBorder="1" applyAlignment="1">
      <alignment horizontal="right"/>
    </xf>
    <xf numFmtId="0" fontId="36" fillId="0" borderId="20" xfId="569" applyFont="1" applyFill="1" applyBorder="1"/>
    <xf numFmtId="0" fontId="36" fillId="0" borderId="21" xfId="569" applyFont="1" applyBorder="1"/>
    <xf numFmtId="3" fontId="36" fillId="0" borderId="19" xfId="569" applyNumberFormat="1" applyFont="1" applyFill="1" applyBorder="1" applyAlignment="1">
      <alignment horizontal="right"/>
    </xf>
    <xf numFmtId="3" fontId="37" fillId="0" borderId="19" xfId="569" applyNumberFormat="1" applyFont="1" applyFill="1" applyBorder="1" applyAlignment="1">
      <alignment horizontal="right"/>
    </xf>
    <xf numFmtId="0" fontId="36" fillId="0" borderId="0" xfId="569" applyFont="1" applyBorder="1" applyAlignment="1"/>
    <xf numFmtId="3" fontId="36" fillId="0" borderId="0" xfId="569" applyNumberFormat="1" applyFont="1" applyFill="1" applyBorder="1" applyAlignment="1">
      <alignment horizontal="right"/>
    </xf>
    <xf numFmtId="3" fontId="37" fillId="0" borderId="0" xfId="569" applyNumberFormat="1" applyFont="1" applyFill="1" applyBorder="1" applyAlignment="1">
      <alignment horizontal="right"/>
    </xf>
    <xf numFmtId="3" fontId="32" fillId="4" borderId="0" xfId="569" applyNumberFormat="1" applyFont="1" applyFill="1" applyBorder="1" applyAlignment="1"/>
    <xf numFmtId="3" fontId="32" fillId="0" borderId="0" xfId="569" applyNumberFormat="1" applyFont="1" applyFill="1" applyBorder="1" applyAlignment="1"/>
    <xf numFmtId="3" fontId="36" fillId="0" borderId="18" xfId="569" applyNumberFormat="1" applyFont="1" applyFill="1" applyBorder="1" applyAlignment="1">
      <alignment horizontal="center"/>
    </xf>
    <xf numFmtId="3" fontId="37" fillId="0" borderId="18" xfId="569" applyNumberFormat="1" applyFont="1" applyFill="1" applyBorder="1" applyAlignment="1">
      <alignment horizontal="center"/>
    </xf>
    <xf numFmtId="3" fontId="37" fillId="0" borderId="22" xfId="569" applyNumberFormat="1" applyFont="1" applyBorder="1" applyAlignment="1">
      <alignment horizontal="right"/>
    </xf>
    <xf numFmtId="3" fontId="34" fillId="0" borderId="0" xfId="569" applyNumberFormat="1" applyFont="1" applyFill="1" applyBorder="1" applyAlignment="1">
      <alignment horizontal="right" vertical="top"/>
    </xf>
    <xf numFmtId="3" fontId="36" fillId="0" borderId="18" xfId="569" applyNumberFormat="1" applyFont="1" applyFill="1" applyBorder="1"/>
    <xf numFmtId="3" fontId="37" fillId="0" borderId="18" xfId="569" applyNumberFormat="1" applyFont="1" applyFill="1" applyBorder="1"/>
    <xf numFmtId="3" fontId="34" fillId="0" borderId="0" xfId="569" applyNumberFormat="1" applyFont="1" applyFill="1" applyBorder="1" applyAlignment="1">
      <alignment horizontal="right"/>
    </xf>
    <xf numFmtId="3" fontId="36" fillId="0" borderId="19" xfId="569" applyNumberFormat="1" applyFont="1" applyFill="1" applyBorder="1"/>
    <xf numFmtId="3" fontId="37" fillId="0" borderId="19" xfId="569" applyNumberFormat="1" applyFont="1" applyFill="1" applyBorder="1"/>
    <xf numFmtId="3" fontId="34" fillId="0" borderId="0" xfId="569" applyNumberFormat="1" applyFont="1" applyFill="1" applyBorder="1"/>
    <xf numFmtId="3" fontId="33" fillId="0" borderId="0" xfId="569" applyNumberFormat="1" applyFont="1" applyFill="1" applyBorder="1" applyAlignment="1">
      <alignment horizontal="center"/>
    </xf>
    <xf numFmtId="3" fontId="6" fillId="0" borderId="0" xfId="569" applyNumberFormat="1" applyFont="1" applyFill="1" applyBorder="1"/>
    <xf numFmtId="2" fontId="39" fillId="0" borderId="0" xfId="569" applyNumberFormat="1" applyFont="1" applyFill="1" applyBorder="1" applyAlignment="1">
      <alignment horizontal="left"/>
    </xf>
    <xf numFmtId="4" fontId="36" fillId="8" borderId="0" xfId="569" applyNumberFormat="1" applyFont="1" applyFill="1" applyBorder="1" applyAlignment="1">
      <alignment horizontal="right"/>
    </xf>
    <xf numFmtId="4" fontId="6" fillId="0" borderId="0" xfId="569" applyNumberFormat="1" applyFont="1" applyFill="1" applyBorder="1" applyAlignment="1">
      <alignment horizontal="right"/>
    </xf>
    <xf numFmtId="3" fontId="6" fillId="0" borderId="0" xfId="569" applyNumberFormat="1" applyFont="1" applyFill="1" applyBorder="1" applyAlignment="1">
      <alignment horizontal="right"/>
    </xf>
    <xf numFmtId="3" fontId="36" fillId="0" borderId="17" xfId="569" applyNumberFormat="1" applyFont="1" applyBorder="1" applyAlignment="1">
      <alignment horizontal="right"/>
    </xf>
    <xf numFmtId="4" fontId="36" fillId="0" borderId="19" xfId="569" applyNumberFormat="1" applyFont="1" applyBorder="1"/>
    <xf numFmtId="4" fontId="36" fillId="0" borderId="0" xfId="569" applyNumberFormat="1" applyFont="1" applyFill="1" applyBorder="1"/>
    <xf numFmtId="4" fontId="42" fillId="0" borderId="0" xfId="569" applyNumberFormat="1" applyFont="1" applyFill="1" applyBorder="1" applyAlignment="1">
      <alignment horizontal="right"/>
    </xf>
    <xf numFmtId="0" fontId="36" fillId="0" borderId="24" xfId="569" applyFont="1" applyFill="1" applyBorder="1"/>
    <xf numFmtId="1" fontId="35" fillId="0" borderId="0" xfId="569" applyNumberFormat="1" applyFont="1" applyFill="1" applyBorder="1" applyAlignment="1">
      <alignment horizontal="right"/>
    </xf>
    <xf numFmtId="0" fontId="31" fillId="7" borderId="28" xfId="569" applyFont="1" applyFill="1" applyBorder="1" applyAlignment="1">
      <alignment vertical="top"/>
    </xf>
    <xf numFmtId="0" fontId="31" fillId="7" borderId="14" xfId="569" applyFont="1" applyFill="1" applyBorder="1" applyAlignment="1">
      <alignment horizontal="center"/>
    </xf>
    <xf numFmtId="4" fontId="31" fillId="7" borderId="29" xfId="569" applyNumberFormat="1" applyFont="1" applyFill="1" applyBorder="1" applyAlignment="1">
      <alignment horizontal="justify" vertical="top"/>
    </xf>
    <xf numFmtId="2" fontId="31" fillId="7" borderId="30" xfId="569" applyNumberFormat="1" applyFont="1" applyFill="1" applyBorder="1" applyAlignment="1">
      <alignment horizontal="justify" vertical="center"/>
    </xf>
    <xf numFmtId="4" fontId="35" fillId="0" borderId="0" xfId="569" applyNumberFormat="1" applyFont="1" applyFill="1" applyBorder="1"/>
    <xf numFmtId="0" fontId="36" fillId="0" borderId="0" xfId="569" applyFont="1" applyBorder="1" applyAlignment="1">
      <alignment horizontal="left"/>
    </xf>
    <xf numFmtId="0" fontId="6" fillId="0" borderId="0" xfId="569"/>
    <xf numFmtId="10" fontId="6" fillId="0" borderId="0" xfId="569" applyNumberFormat="1" applyFont="1" applyBorder="1"/>
    <xf numFmtId="4" fontId="36" fillId="0" borderId="18" xfId="569" applyNumberFormat="1" applyFont="1" applyBorder="1"/>
    <xf numFmtId="4" fontId="36" fillId="0" borderId="23" xfId="569" applyNumberFormat="1" applyFont="1" applyBorder="1"/>
    <xf numFmtId="4" fontId="36" fillId="0" borderId="0" xfId="569" applyNumberFormat="1" applyFont="1" applyBorder="1" applyAlignment="1">
      <alignment horizontal="right"/>
    </xf>
    <xf numFmtId="4" fontId="37" fillId="0" borderId="0" xfId="569" applyNumberFormat="1" applyFont="1" applyFill="1" applyBorder="1"/>
    <xf numFmtId="0" fontId="32" fillId="0" borderId="0" xfId="569" applyFont="1" applyFill="1" applyBorder="1"/>
    <xf numFmtId="0" fontId="31" fillId="4" borderId="0" xfId="569" applyFont="1" applyFill="1" applyBorder="1" applyAlignment="1"/>
    <xf numFmtId="0" fontId="31" fillId="0" borderId="0" xfId="569" applyFont="1" applyFill="1" applyBorder="1" applyAlignment="1"/>
    <xf numFmtId="0" fontId="36" fillId="0" borderId="18" xfId="569" applyFont="1" applyBorder="1"/>
    <xf numFmtId="0" fontId="36" fillId="0" borderId="22" xfId="569" applyFont="1" applyBorder="1"/>
    <xf numFmtId="0" fontId="36" fillId="0" borderId="23" xfId="569" applyFont="1" applyBorder="1"/>
    <xf numFmtId="0" fontId="37" fillId="0" borderId="0" xfId="569" applyFont="1" applyBorder="1" applyAlignment="1">
      <alignment horizontal="left"/>
    </xf>
    <xf numFmtId="0" fontId="31" fillId="0" borderId="0" xfId="569" applyFont="1" applyFill="1" applyBorder="1"/>
    <xf numFmtId="4" fontId="31" fillId="0" borderId="0" xfId="569" applyNumberFormat="1" applyFont="1" applyFill="1" applyBorder="1"/>
    <xf numFmtId="3" fontId="36" fillId="0" borderId="23" xfId="569" applyNumberFormat="1" applyFont="1" applyBorder="1"/>
    <xf numFmtId="3" fontId="31" fillId="0" borderId="0" xfId="569" applyNumberFormat="1" applyFont="1" applyFill="1" applyBorder="1" applyAlignment="1">
      <alignment horizontal="right"/>
    </xf>
    <xf numFmtId="2" fontId="31" fillId="0" borderId="0" xfId="569" applyNumberFormat="1" applyFont="1" applyFill="1" applyBorder="1" applyAlignment="1">
      <alignment horizontal="center"/>
    </xf>
    <xf numFmtId="0" fontId="37" fillId="0" borderId="0" xfId="569" applyFont="1" applyBorder="1"/>
    <xf numFmtId="3" fontId="36" fillId="0" borderId="19" xfId="569" applyNumberFormat="1" applyFont="1" applyBorder="1"/>
    <xf numFmtId="0" fontId="31" fillId="3" borderId="35" xfId="569" applyFont="1" applyFill="1" applyBorder="1"/>
    <xf numFmtId="0" fontId="6" fillId="3" borderId="36" xfId="569" applyFont="1" applyFill="1" applyBorder="1"/>
    <xf numFmtId="4" fontId="39" fillId="0" borderId="0" xfId="569" applyNumberFormat="1" applyFont="1" applyBorder="1"/>
    <xf numFmtId="4" fontId="41" fillId="0" borderId="0" xfId="569" applyNumberFormat="1" applyFont="1" applyBorder="1"/>
    <xf numFmtId="0" fontId="31" fillId="4" borderId="37" xfId="569" applyFont="1" applyFill="1" applyBorder="1"/>
    <xf numFmtId="0" fontId="6" fillId="4" borderId="38" xfId="569" applyFont="1" applyFill="1" applyBorder="1"/>
    <xf numFmtId="0" fontId="44" fillId="0" borderId="0" xfId="0" applyFont="1" applyAlignment="1">
      <alignment horizontal="center"/>
    </xf>
    <xf numFmtId="0" fontId="0" fillId="0" borderId="0" xfId="0" applyBorder="1"/>
    <xf numFmtId="167" fontId="0" fillId="0" borderId="0" xfId="0" applyNumberFormat="1"/>
    <xf numFmtId="3" fontId="0" fillId="0" borderId="0" xfId="0" applyNumberFormat="1"/>
    <xf numFmtId="0" fontId="26" fillId="0" borderId="0" xfId="0" applyFont="1"/>
    <xf numFmtId="167" fontId="45" fillId="0" borderId="0" xfId="0" applyNumberFormat="1" applyFont="1"/>
    <xf numFmtId="3" fontId="0" fillId="0" borderId="0" xfId="0" applyNumberFormat="1" applyFont="1"/>
    <xf numFmtId="0" fontId="46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49" fontId="47" fillId="0" borderId="0" xfId="0" applyNumberFormat="1" applyFont="1" applyFill="1" applyBorder="1" applyAlignment="1">
      <alignment horizontal="center"/>
    </xf>
    <xf numFmtId="0" fontId="47" fillId="0" borderId="0" xfId="0" applyFont="1" applyFill="1" applyBorder="1"/>
    <xf numFmtId="0" fontId="36" fillId="0" borderId="0" xfId="0" applyFont="1" applyFill="1" applyBorder="1"/>
    <xf numFmtId="3" fontId="45" fillId="0" borderId="0" xfId="0" applyNumberFormat="1" applyFont="1"/>
    <xf numFmtId="0" fontId="44" fillId="9" borderId="27" xfId="0" applyFont="1" applyFill="1" applyBorder="1" applyAlignment="1">
      <alignment horizontal="center"/>
    </xf>
    <xf numFmtId="0" fontId="26" fillId="9" borderId="40" xfId="0" applyFont="1" applyFill="1" applyBorder="1" applyAlignment="1">
      <alignment horizontal="left"/>
    </xf>
    <xf numFmtId="49" fontId="46" fillId="9" borderId="32" xfId="0" applyNumberFormat="1" applyFont="1" applyFill="1" applyBorder="1" applyAlignment="1">
      <alignment horizontal="center"/>
    </xf>
    <xf numFmtId="0" fontId="0" fillId="9" borderId="32" xfId="0" applyFont="1" applyFill="1" applyBorder="1"/>
    <xf numFmtId="0" fontId="0" fillId="9" borderId="26" xfId="0" applyFont="1" applyFill="1" applyBorder="1"/>
    <xf numFmtId="0" fontId="44" fillId="9" borderId="41" xfId="0" applyFont="1" applyFill="1" applyBorder="1" applyAlignment="1">
      <alignment horizontal="center"/>
    </xf>
    <xf numFmtId="0" fontId="44" fillId="9" borderId="42" xfId="0" applyFont="1" applyFill="1" applyBorder="1" applyAlignment="1">
      <alignment horizontal="center"/>
    </xf>
    <xf numFmtId="49" fontId="44" fillId="9" borderId="42" xfId="0" applyNumberFormat="1" applyFont="1" applyFill="1" applyBorder="1" applyAlignment="1">
      <alignment horizontal="center"/>
    </xf>
    <xf numFmtId="0" fontId="48" fillId="9" borderId="13" xfId="0" applyFont="1" applyFill="1" applyBorder="1" applyAlignment="1"/>
    <xf numFmtId="0" fontId="48" fillId="9" borderId="43" xfId="0" applyFont="1" applyFill="1" applyBorder="1" applyAlignment="1">
      <alignment horizontal="center"/>
    </xf>
    <xf numFmtId="167" fontId="0" fillId="9" borderId="20" xfId="0" applyNumberFormat="1" applyFont="1" applyFill="1" applyBorder="1" applyAlignment="1">
      <alignment horizontal="center"/>
    </xf>
    <xf numFmtId="167" fontId="0" fillId="9" borderId="44" xfId="0" applyNumberFormat="1" applyFont="1" applyFill="1" applyBorder="1" applyAlignment="1">
      <alignment horizontal="center"/>
    </xf>
    <xf numFmtId="167" fontId="0" fillId="9" borderId="45" xfId="0" applyNumberFormat="1" applyFont="1" applyFill="1" applyBorder="1" applyAlignment="1">
      <alignment horizontal="center"/>
    </xf>
    <xf numFmtId="1" fontId="0" fillId="9" borderId="20" xfId="0" applyNumberFormat="1" applyFont="1" applyFill="1" applyBorder="1" applyAlignment="1">
      <alignment horizontal="center" vertical="center"/>
    </xf>
    <xf numFmtId="1" fontId="0" fillId="9" borderId="46" xfId="0" applyNumberFormat="1" applyFont="1" applyFill="1" applyBorder="1" applyAlignment="1">
      <alignment horizontal="center" vertical="center"/>
    </xf>
    <xf numFmtId="1" fontId="0" fillId="9" borderId="47" xfId="0" applyNumberFormat="1" applyFont="1" applyFill="1" applyBorder="1" applyAlignment="1">
      <alignment horizontal="center" vertical="center"/>
    </xf>
    <xf numFmtId="0" fontId="44" fillId="0" borderId="48" xfId="0" applyFont="1" applyBorder="1" applyAlignment="1">
      <alignment horizontal="center"/>
    </xf>
    <xf numFmtId="0" fontId="49" fillId="7" borderId="28" xfId="0" applyFont="1" applyFill="1" applyBorder="1" applyAlignment="1">
      <alignment horizontal="left" vertical="center"/>
    </xf>
    <xf numFmtId="0" fontId="49" fillId="7" borderId="28" xfId="0" applyFont="1" applyFill="1" applyBorder="1" applyAlignment="1">
      <alignment vertical="center"/>
    </xf>
    <xf numFmtId="0" fontId="49" fillId="7" borderId="28" xfId="0" applyFont="1" applyFill="1" applyBorder="1" applyAlignment="1"/>
    <xf numFmtId="0" fontId="49" fillId="7" borderId="49" xfId="0" applyFont="1" applyFill="1" applyBorder="1" applyAlignment="1"/>
    <xf numFmtId="167" fontId="49" fillId="7" borderId="13" xfId="0" applyNumberFormat="1" applyFont="1" applyFill="1" applyBorder="1" applyAlignment="1"/>
    <xf numFmtId="3" fontId="49" fillId="7" borderId="43" xfId="0" applyNumberFormat="1" applyFont="1" applyFill="1" applyBorder="1" applyAlignment="1"/>
    <xf numFmtId="0" fontId="44" fillId="0" borderId="41" xfId="0" applyFont="1" applyBorder="1" applyAlignment="1">
      <alignment horizontal="center"/>
    </xf>
    <xf numFmtId="0" fontId="50" fillId="7" borderId="42" xfId="0" applyFont="1" applyFill="1" applyBorder="1"/>
    <xf numFmtId="0" fontId="50" fillId="7" borderId="0" xfId="0" applyFont="1" applyFill="1" applyBorder="1"/>
    <xf numFmtId="0" fontId="50" fillId="7" borderId="50" xfId="0" applyFont="1" applyFill="1" applyBorder="1"/>
    <xf numFmtId="0" fontId="50" fillId="7" borderId="51" xfId="0" applyFont="1" applyFill="1" applyBorder="1"/>
    <xf numFmtId="0" fontId="51" fillId="10" borderId="42" xfId="0" applyFont="1" applyFill="1" applyBorder="1" applyAlignment="1">
      <alignment horizontal="center"/>
    </xf>
    <xf numFmtId="0" fontId="53" fillId="10" borderId="42" xfId="0" applyFont="1" applyFill="1" applyBorder="1" applyAlignment="1"/>
    <xf numFmtId="0" fontId="44" fillId="10" borderId="0" xfId="0" applyFont="1" applyFill="1" applyBorder="1" applyAlignment="1"/>
    <xf numFmtId="0" fontId="44" fillId="10" borderId="50" xfId="0" applyFont="1" applyFill="1" applyBorder="1" applyAlignment="1"/>
    <xf numFmtId="167" fontId="52" fillId="10" borderId="24" xfId="0" applyNumberFormat="1" applyFont="1" applyFill="1" applyBorder="1" applyAlignment="1"/>
    <xf numFmtId="3" fontId="52" fillId="10" borderId="48" xfId="0" applyNumberFormat="1" applyFont="1" applyFill="1" applyBorder="1" applyAlignment="1"/>
    <xf numFmtId="3" fontId="52" fillId="10" borderId="41" xfId="0" applyNumberFormat="1" applyFont="1" applyFill="1" applyBorder="1" applyAlignment="1"/>
    <xf numFmtId="0" fontId="54" fillId="0" borderId="42" xfId="0" applyFont="1" applyFill="1" applyBorder="1" applyAlignment="1">
      <alignment horizontal="center"/>
    </xf>
    <xf numFmtId="49" fontId="50" fillId="3" borderId="0" xfId="0" applyNumberFormat="1" applyFont="1" applyFill="1" applyBorder="1" applyAlignment="1">
      <alignment horizontal="left"/>
    </xf>
    <xf numFmtId="0" fontId="55" fillId="3" borderId="0" xfId="0" applyFont="1" applyFill="1" applyBorder="1"/>
    <xf numFmtId="0" fontId="44" fillId="3" borderId="0" xfId="0" applyFont="1" applyFill="1" applyBorder="1"/>
    <xf numFmtId="0" fontId="50" fillId="3" borderId="50" xfId="0" applyFont="1" applyFill="1" applyBorder="1"/>
    <xf numFmtId="167" fontId="50" fillId="3" borderId="24" xfId="0" applyNumberFormat="1" applyFont="1" applyFill="1" applyBorder="1" applyAlignment="1">
      <alignment horizontal="right"/>
    </xf>
    <xf numFmtId="3" fontId="50" fillId="3" borderId="41" xfId="0" applyNumberFormat="1" applyFont="1" applyFill="1" applyBorder="1" applyAlignment="1">
      <alignment horizontal="right"/>
    </xf>
    <xf numFmtId="0" fontId="44" fillId="0" borderId="0" xfId="0" applyFont="1" applyFill="1"/>
    <xf numFmtId="0" fontId="51" fillId="0" borderId="42" xfId="0" applyFont="1" applyFill="1" applyBorder="1" applyAlignment="1">
      <alignment horizontal="center"/>
    </xf>
    <xf numFmtId="0" fontId="53" fillId="0" borderId="0" xfId="0" applyFont="1" applyFill="1" applyBorder="1" applyAlignment="1"/>
    <xf numFmtId="0" fontId="0" fillId="7" borderId="0" xfId="0" applyFont="1" applyFill="1" applyBorder="1"/>
    <xf numFmtId="0" fontId="0" fillId="7" borderId="50" xfId="0" applyFont="1" applyFill="1" applyBorder="1"/>
    <xf numFmtId="167" fontId="50" fillId="7" borderId="24" xfId="0" applyNumberFormat="1" applyFont="1" applyFill="1" applyBorder="1"/>
    <xf numFmtId="3" fontId="50" fillId="7" borderId="41" xfId="0" applyNumberFormat="1" applyFont="1" applyFill="1" applyBorder="1"/>
    <xf numFmtId="0" fontId="44" fillId="0" borderId="0" xfId="0" applyFont="1" applyBorder="1" applyAlignment="1">
      <alignment horizontal="center"/>
    </xf>
    <xf numFmtId="49" fontId="51" fillId="15" borderId="23" xfId="0" applyNumberFormat="1" applyFont="1" applyFill="1" applyBorder="1" applyAlignment="1">
      <alignment horizontal="center"/>
    </xf>
    <xf numFmtId="49" fontId="52" fillId="15" borderId="52" xfId="0" applyNumberFormat="1" applyFont="1" applyFill="1" applyBorder="1" applyAlignment="1">
      <alignment horizontal="left"/>
    </xf>
    <xf numFmtId="0" fontId="52" fillId="15" borderId="17" xfId="0" applyFont="1" applyFill="1" applyBorder="1"/>
    <xf numFmtId="0" fontId="52" fillId="15" borderId="53" xfId="0" applyFont="1" applyFill="1" applyBorder="1"/>
    <xf numFmtId="167" fontId="52" fillId="15" borderId="16" xfId="0" applyNumberFormat="1" applyFont="1" applyFill="1" applyBorder="1" applyAlignment="1">
      <alignment horizontal="right"/>
    </xf>
    <xf numFmtId="3" fontId="50" fillId="15" borderId="54" xfId="0" applyNumberFormat="1" applyFont="1" applyFill="1" applyBorder="1" applyAlignment="1">
      <alignment horizontal="right"/>
    </xf>
    <xf numFmtId="0" fontId="44" fillId="0" borderId="0" xfId="0" applyFont="1" applyFill="1" applyBorder="1" applyAlignment="1">
      <alignment horizontal="center"/>
    </xf>
    <xf numFmtId="49" fontId="56" fillId="0" borderId="55" xfId="0" applyNumberFormat="1" applyFont="1" applyFill="1" applyBorder="1" applyAlignment="1">
      <alignment horizontal="right"/>
    </xf>
    <xf numFmtId="0" fontId="44" fillId="0" borderId="23" xfId="0" applyFont="1" applyBorder="1" applyAlignment="1">
      <alignment horizontal="center"/>
    </xf>
    <xf numFmtId="0" fontId="44" fillId="8" borderId="55" xfId="0" applyFont="1" applyFill="1" applyBorder="1"/>
    <xf numFmtId="0" fontId="44" fillId="8" borderId="42" xfId="0" applyFont="1" applyFill="1" applyBorder="1"/>
    <xf numFmtId="167" fontId="44" fillId="0" borderId="0" xfId="0" applyNumberFormat="1" applyFont="1" applyFill="1" applyBorder="1" applyAlignment="1">
      <alignment horizontal="right"/>
    </xf>
    <xf numFmtId="3" fontId="44" fillId="0" borderId="41" xfId="0" applyNumberFormat="1" applyFont="1" applyFill="1" applyBorder="1" applyAlignment="1">
      <alignment horizontal="right"/>
    </xf>
    <xf numFmtId="0" fontId="44" fillId="0" borderId="18" xfId="0" applyFont="1" applyBorder="1" applyAlignment="1">
      <alignment horizontal="center"/>
    </xf>
    <xf numFmtId="0" fontId="44" fillId="0" borderId="52" xfId="0" applyFont="1" applyFill="1" applyBorder="1"/>
    <xf numFmtId="0" fontId="44" fillId="0" borderId="34" xfId="0" applyFont="1" applyFill="1" applyBorder="1"/>
    <xf numFmtId="167" fontId="44" fillId="0" borderId="17" xfId="0" applyNumberFormat="1" applyFont="1" applyFill="1" applyBorder="1" applyAlignment="1">
      <alignment horizontal="right"/>
    </xf>
    <xf numFmtId="3" fontId="44" fillId="0" borderId="54" xfId="0" applyNumberFormat="1" applyFont="1" applyFill="1" applyBorder="1" applyAlignment="1">
      <alignment horizontal="right"/>
    </xf>
    <xf numFmtId="0" fontId="44" fillId="8" borderId="52" xfId="0" applyFont="1" applyFill="1" applyBorder="1"/>
    <xf numFmtId="0" fontId="44" fillId="8" borderId="34" xfId="0" applyFont="1" applyFill="1" applyBorder="1"/>
    <xf numFmtId="0" fontId="44" fillId="8" borderId="56" xfId="0" applyFont="1" applyFill="1" applyBorder="1"/>
    <xf numFmtId="0" fontId="44" fillId="8" borderId="57" xfId="0" applyFont="1" applyFill="1" applyBorder="1"/>
    <xf numFmtId="167" fontId="44" fillId="0" borderId="21" xfId="0" applyNumberFormat="1" applyFont="1" applyFill="1" applyBorder="1" applyAlignment="1">
      <alignment horizontal="right"/>
    </xf>
    <xf numFmtId="3" fontId="44" fillId="0" borderId="46" xfId="0" applyNumberFormat="1" applyFont="1" applyFill="1" applyBorder="1" applyAlignment="1">
      <alignment horizontal="right"/>
    </xf>
    <xf numFmtId="0" fontId="44" fillId="8" borderId="53" xfId="0" applyFont="1" applyFill="1" applyBorder="1"/>
    <xf numFmtId="167" fontId="44" fillId="0" borderId="16" xfId="0" applyNumberFormat="1" applyFont="1" applyFill="1" applyBorder="1" applyAlignment="1">
      <alignment horizontal="right"/>
    </xf>
    <xf numFmtId="0" fontId="44" fillId="0" borderId="42" xfId="0" applyFont="1" applyBorder="1" applyAlignment="1">
      <alignment horizontal="center"/>
    </xf>
    <xf numFmtId="0" fontId="0" fillId="3" borderId="0" xfId="0" applyFont="1" applyFill="1" applyBorder="1"/>
    <xf numFmtId="0" fontId="52" fillId="3" borderId="50" xfId="0" applyFont="1" applyFill="1" applyBorder="1"/>
    <xf numFmtId="167" fontId="52" fillId="3" borderId="24" xfId="0" applyNumberFormat="1" applyFont="1" applyFill="1" applyBorder="1" applyAlignment="1">
      <alignment horizontal="right"/>
    </xf>
    <xf numFmtId="3" fontId="52" fillId="3" borderId="41" xfId="0" applyNumberFormat="1" applyFont="1" applyFill="1" applyBorder="1" applyAlignment="1">
      <alignment horizontal="right"/>
    </xf>
    <xf numFmtId="0" fontId="44" fillId="0" borderId="42" xfId="0" applyFont="1" applyFill="1" applyBorder="1" applyAlignment="1">
      <alignment horizontal="center"/>
    </xf>
    <xf numFmtId="0" fontId="0" fillId="0" borderId="0" xfId="0" applyFill="1"/>
    <xf numFmtId="49" fontId="51" fillId="15" borderId="42" xfId="0" applyNumberFormat="1" applyFont="1" applyFill="1" applyBorder="1" applyAlignment="1">
      <alignment horizontal="center"/>
    </xf>
    <xf numFmtId="0" fontId="52" fillId="15" borderId="52" xfId="0" applyFont="1" applyFill="1" applyBorder="1"/>
    <xf numFmtId="0" fontId="50" fillId="15" borderId="53" xfId="0" applyFont="1" applyFill="1" applyBorder="1"/>
    <xf numFmtId="167" fontId="50" fillId="15" borderId="16" xfId="0" applyNumberFormat="1" applyFont="1" applyFill="1" applyBorder="1" applyAlignment="1">
      <alignment horizontal="right"/>
    </xf>
    <xf numFmtId="49" fontId="56" fillId="0" borderId="42" xfId="0" applyNumberFormat="1" applyFont="1" applyFill="1" applyBorder="1" applyAlignment="1">
      <alignment horizontal="right"/>
    </xf>
    <xf numFmtId="0" fontId="44" fillId="0" borderId="23" xfId="0" applyFont="1" applyFill="1" applyBorder="1" applyAlignment="1">
      <alignment horizontal="center"/>
    </xf>
    <xf numFmtId="0" fontId="44" fillId="0" borderId="0" xfId="0" applyFont="1" applyFill="1" applyBorder="1"/>
    <xf numFmtId="0" fontId="44" fillId="0" borderId="50" xfId="0" applyFont="1" applyFill="1" applyBorder="1"/>
    <xf numFmtId="167" fontId="50" fillId="0" borderId="24" xfId="0" applyNumberFormat="1" applyFont="1" applyFill="1" applyBorder="1" applyAlignment="1">
      <alignment horizontal="right"/>
    </xf>
    <xf numFmtId="0" fontId="44" fillId="0" borderId="18" xfId="0" applyFont="1" applyFill="1" applyBorder="1" applyAlignment="1">
      <alignment horizontal="center"/>
    </xf>
    <xf numFmtId="0" fontId="44" fillId="0" borderId="17" xfId="0" applyFont="1" applyFill="1" applyBorder="1"/>
    <xf numFmtId="0" fontId="44" fillId="0" borderId="53" xfId="0" applyFont="1" applyFill="1" applyBorder="1"/>
    <xf numFmtId="167" fontId="50" fillId="0" borderId="16" xfId="0" applyNumberFormat="1" applyFont="1" applyFill="1" applyBorder="1" applyAlignment="1">
      <alignment horizontal="right"/>
    </xf>
    <xf numFmtId="0" fontId="50" fillId="0" borderId="53" xfId="0" applyFont="1" applyFill="1" applyBorder="1"/>
    <xf numFmtId="167" fontId="44" fillId="0" borderId="16" xfId="0" applyNumberFormat="1" applyFont="1" applyFill="1" applyBorder="1"/>
    <xf numFmtId="3" fontId="44" fillId="0" borderId="54" xfId="0" applyNumberFormat="1" applyFont="1" applyFill="1" applyBorder="1"/>
    <xf numFmtId="167" fontId="50" fillId="15" borderId="16" xfId="0" applyNumberFormat="1" applyFont="1" applyFill="1" applyBorder="1"/>
    <xf numFmtId="3" fontId="50" fillId="15" borderId="54" xfId="0" applyNumberFormat="1" applyFont="1" applyFill="1" applyBorder="1"/>
    <xf numFmtId="49" fontId="44" fillId="0" borderId="23" xfId="0" applyNumberFormat="1" applyFont="1" applyFill="1" applyBorder="1" applyAlignment="1">
      <alignment horizontal="center"/>
    </xf>
    <xf numFmtId="0" fontId="44" fillId="8" borderId="50" xfId="0" applyFont="1" applyFill="1" applyBorder="1"/>
    <xf numFmtId="167" fontId="44" fillId="0" borderId="24" xfId="0" applyNumberFormat="1" applyFont="1" applyFill="1" applyBorder="1"/>
    <xf numFmtId="3" fontId="44" fillId="0" borderId="41" xfId="0" applyNumberFormat="1" applyFont="1" applyFill="1" applyBorder="1"/>
    <xf numFmtId="49" fontId="56" fillId="0" borderId="0" xfId="0" applyNumberFormat="1" applyFont="1" applyFill="1" applyBorder="1" applyAlignment="1">
      <alignment horizontal="right"/>
    </xf>
    <xf numFmtId="49" fontId="44" fillId="0" borderId="18" xfId="0" applyNumberFormat="1" applyFont="1" applyFill="1" applyBorder="1" applyAlignment="1">
      <alignment horizontal="center"/>
    </xf>
    <xf numFmtId="49" fontId="56" fillId="0" borderId="23" xfId="0" applyNumberFormat="1" applyFont="1" applyFill="1" applyBorder="1" applyAlignment="1">
      <alignment horizontal="right"/>
    </xf>
    <xf numFmtId="167" fontId="44" fillId="0" borderId="24" xfId="0" applyNumberFormat="1" applyFont="1" applyFill="1" applyBorder="1" applyAlignment="1">
      <alignment horizontal="right"/>
    </xf>
    <xf numFmtId="0" fontId="44" fillId="0" borderId="0" xfId="0" applyFont="1" applyBorder="1"/>
    <xf numFmtId="0" fontId="44" fillId="0" borderId="55" xfId="0" applyFont="1" applyBorder="1"/>
    <xf numFmtId="0" fontId="44" fillId="0" borderId="41" xfId="0" applyFont="1" applyBorder="1"/>
    <xf numFmtId="0" fontId="44" fillId="0" borderId="0" xfId="0" applyFont="1"/>
    <xf numFmtId="0" fontId="44" fillId="0" borderId="52" xfId="0" applyFont="1" applyBorder="1"/>
    <xf numFmtId="0" fontId="44" fillId="0" borderId="17" xfId="0" applyFont="1" applyBorder="1"/>
    <xf numFmtId="0" fontId="44" fillId="0" borderId="54" xfId="0" applyFont="1" applyBorder="1"/>
    <xf numFmtId="0" fontId="53" fillId="0" borderId="55" xfId="0" applyFont="1" applyFill="1" applyBorder="1" applyAlignment="1"/>
    <xf numFmtId="167" fontId="52" fillId="15" borderId="16" xfId="0" applyNumberFormat="1" applyFont="1" applyFill="1" applyBorder="1" applyAlignment="1"/>
    <xf numFmtId="3" fontId="50" fillId="15" borderId="54" xfId="0" applyNumberFormat="1" applyFont="1" applyFill="1" applyBorder="1" applyAlignment="1"/>
    <xf numFmtId="0" fontId="50" fillId="0" borderId="50" xfId="0" applyFont="1" applyFill="1" applyBorder="1"/>
    <xf numFmtId="167" fontId="50" fillId="0" borderId="24" xfId="0" applyNumberFormat="1" applyFont="1" applyFill="1" applyBorder="1" applyAlignment="1"/>
    <xf numFmtId="3" fontId="44" fillId="0" borderId="41" xfId="0" applyNumberFormat="1" applyFont="1" applyFill="1" applyBorder="1" applyAlignment="1"/>
    <xf numFmtId="167" fontId="50" fillId="0" borderId="16" xfId="0" applyNumberFormat="1" applyFont="1" applyFill="1" applyBorder="1" applyAlignment="1"/>
    <xf numFmtId="3" fontId="44" fillId="0" borderId="54" xfId="0" applyNumberFormat="1" applyFont="1" applyFill="1" applyBorder="1" applyAlignment="1"/>
    <xf numFmtId="0" fontId="51" fillId="10" borderId="0" xfId="0" applyFont="1" applyFill="1" applyBorder="1" applyAlignment="1">
      <alignment horizontal="center"/>
    </xf>
    <xf numFmtId="0" fontId="53" fillId="10" borderId="55" xfId="0" applyFont="1" applyFill="1" applyBorder="1" applyAlignment="1"/>
    <xf numFmtId="0" fontId="51" fillId="0" borderId="0" xfId="0" applyFont="1" applyFill="1" applyBorder="1" applyAlignment="1">
      <alignment horizontal="center"/>
    </xf>
    <xf numFmtId="49" fontId="54" fillId="15" borderId="23" xfId="0" applyNumberFormat="1" applyFont="1" applyFill="1" applyBorder="1" applyAlignment="1">
      <alignment horizontal="center"/>
    </xf>
    <xf numFmtId="0" fontId="44" fillId="0" borderId="55" xfId="0" applyFont="1" applyFill="1" applyBorder="1"/>
    <xf numFmtId="0" fontId="53" fillId="10" borderId="0" xfId="0" applyFont="1" applyFill="1" applyBorder="1" applyAlignment="1"/>
    <xf numFmtId="0" fontId="50" fillId="10" borderId="50" xfId="0" applyFont="1" applyFill="1" applyBorder="1" applyAlignment="1"/>
    <xf numFmtId="49" fontId="54" fillId="15" borderId="42" xfId="0" applyNumberFormat="1" applyFont="1" applyFill="1" applyBorder="1" applyAlignment="1">
      <alignment horizontal="center"/>
    </xf>
    <xf numFmtId="0" fontId="56" fillId="0" borderId="0" xfId="0" applyFont="1" applyBorder="1" applyAlignment="1">
      <alignment horizontal="right"/>
    </xf>
    <xf numFmtId="0" fontId="44" fillId="0" borderId="17" xfId="0" applyFont="1" applyFill="1" applyBorder="1" applyAlignment="1"/>
    <xf numFmtId="0" fontId="50" fillId="0" borderId="53" xfId="0" applyFont="1" applyFill="1" applyBorder="1" applyAlignment="1"/>
    <xf numFmtId="167" fontId="52" fillId="0" borderId="16" xfId="0" applyNumberFormat="1" applyFont="1" applyFill="1" applyBorder="1" applyAlignment="1"/>
    <xf numFmtId="0" fontId="44" fillId="0" borderId="58" xfId="0" applyFont="1" applyBorder="1" applyAlignment="1">
      <alignment horizontal="center"/>
    </xf>
    <xf numFmtId="0" fontId="51" fillId="0" borderId="59" xfId="0" applyFont="1" applyFill="1" applyBorder="1" applyAlignment="1">
      <alignment horizontal="center"/>
    </xf>
    <xf numFmtId="0" fontId="56" fillId="0" borderId="36" xfId="0" applyFont="1" applyBorder="1" applyAlignment="1">
      <alignment horizontal="right"/>
    </xf>
    <xf numFmtId="0" fontId="44" fillId="0" borderId="39" xfId="0" applyFont="1" applyFill="1" applyBorder="1" applyAlignment="1">
      <alignment horizontal="center"/>
    </xf>
    <xf numFmtId="0" fontId="44" fillId="0" borderId="36" xfId="0" applyFont="1" applyFill="1" applyBorder="1" applyAlignment="1"/>
    <xf numFmtId="0" fontId="50" fillId="0" borderId="60" xfId="0" applyFont="1" applyFill="1" applyBorder="1" applyAlignment="1"/>
    <xf numFmtId="167" fontId="52" fillId="0" borderId="35" xfId="0" applyNumberFormat="1" applyFont="1" applyFill="1" applyBorder="1" applyAlignment="1"/>
    <xf numFmtId="3" fontId="48" fillId="0" borderId="58" xfId="0" applyNumberFormat="1" applyFont="1" applyFill="1" applyBorder="1" applyAlignment="1"/>
    <xf numFmtId="167" fontId="0" fillId="0" borderId="0" xfId="0" applyNumberFormat="1" applyFont="1" applyFill="1"/>
    <xf numFmtId="3" fontId="45" fillId="0" borderId="0" xfId="0" applyNumberFormat="1" applyFont="1" applyFill="1"/>
    <xf numFmtId="167" fontId="0" fillId="0" borderId="0" xfId="0" applyNumberFormat="1" applyFont="1"/>
    <xf numFmtId="167" fontId="0" fillId="9" borderId="24" xfId="0" applyNumberFormat="1" applyFont="1" applyFill="1" applyBorder="1" applyAlignment="1">
      <alignment horizontal="center"/>
    </xf>
    <xf numFmtId="0" fontId="44" fillId="9" borderId="58" xfId="0" applyFont="1" applyFill="1" applyBorder="1" applyAlignment="1">
      <alignment horizontal="center"/>
    </xf>
    <xf numFmtId="0" fontId="44" fillId="9" borderId="61" xfId="0" applyFont="1" applyFill="1" applyBorder="1" applyAlignment="1">
      <alignment horizontal="center"/>
    </xf>
    <xf numFmtId="49" fontId="44" fillId="9" borderId="61" xfId="0" applyNumberFormat="1" applyFont="1" applyFill="1" applyBorder="1" applyAlignment="1">
      <alignment horizontal="center"/>
    </xf>
    <xf numFmtId="1" fontId="0" fillId="9" borderId="37" xfId="0" applyNumberFormat="1" applyFont="1" applyFill="1" applyBorder="1" applyAlignment="1">
      <alignment horizontal="center" vertical="center"/>
    </xf>
    <xf numFmtId="1" fontId="0" fillId="9" borderId="62" xfId="0" applyNumberFormat="1" applyFont="1" applyFill="1" applyBorder="1" applyAlignment="1">
      <alignment horizontal="center" vertical="center"/>
    </xf>
    <xf numFmtId="0" fontId="49" fillId="7" borderId="63" xfId="0" applyFont="1" applyFill="1" applyBorder="1" applyAlignment="1">
      <alignment horizontal="left" vertical="center"/>
    </xf>
    <xf numFmtId="0" fontId="49" fillId="7" borderId="64" xfId="0" applyFont="1" applyFill="1" applyBorder="1" applyAlignment="1">
      <alignment vertical="center"/>
    </xf>
    <xf numFmtId="0" fontId="57" fillId="7" borderId="64" xfId="0" applyFont="1" applyFill="1" applyBorder="1" applyAlignment="1"/>
    <xf numFmtId="0" fontId="49" fillId="7" borderId="64" xfId="0" applyFont="1" applyFill="1" applyBorder="1" applyAlignment="1"/>
    <xf numFmtId="0" fontId="57" fillId="7" borderId="45" xfId="0" applyFont="1" applyFill="1" applyBorder="1" applyAlignment="1"/>
    <xf numFmtId="167" fontId="49" fillId="7" borderId="63" xfId="0" applyNumberFormat="1" applyFont="1" applyFill="1" applyBorder="1" applyAlignment="1"/>
    <xf numFmtId="3" fontId="49" fillId="7" borderId="64" xfId="0" applyNumberFormat="1" applyFont="1" applyFill="1" applyBorder="1" applyAlignment="1"/>
    <xf numFmtId="0" fontId="50" fillId="7" borderId="65" xfId="0" applyFont="1" applyFill="1" applyBorder="1"/>
    <xf numFmtId="0" fontId="50" fillId="7" borderId="66" xfId="0" applyFont="1" applyFill="1" applyBorder="1"/>
    <xf numFmtId="0" fontId="51" fillId="10" borderId="65" xfId="0" applyFont="1" applyFill="1" applyBorder="1" applyAlignment="1">
      <alignment horizontal="center"/>
    </xf>
    <xf numFmtId="3" fontId="52" fillId="10" borderId="0" xfId="0" applyNumberFormat="1" applyFont="1" applyFill="1" applyBorder="1" applyAlignment="1"/>
    <xf numFmtId="0" fontId="51" fillId="0" borderId="65" xfId="0" applyFont="1" applyFill="1" applyBorder="1" applyAlignment="1">
      <alignment horizontal="center"/>
    </xf>
    <xf numFmtId="3" fontId="50" fillId="7" borderId="0" xfId="0" applyNumberFormat="1" applyFont="1" applyFill="1" applyBorder="1"/>
    <xf numFmtId="0" fontId="44" fillId="0" borderId="65" xfId="0" applyFont="1" applyBorder="1" applyAlignment="1">
      <alignment horizontal="center"/>
    </xf>
    <xf numFmtId="49" fontId="54" fillId="15" borderId="0" xfId="0" applyNumberFormat="1" applyFont="1" applyFill="1" applyBorder="1" applyAlignment="1">
      <alignment horizontal="center"/>
    </xf>
    <xf numFmtId="0" fontId="44" fillId="15" borderId="17" xfId="0" applyFont="1" applyFill="1" applyBorder="1"/>
    <xf numFmtId="0" fontId="44" fillId="15" borderId="53" xfId="0" applyFont="1" applyFill="1" applyBorder="1"/>
    <xf numFmtId="3" fontId="50" fillId="15" borderId="16" xfId="0" applyNumberFormat="1" applyFont="1" applyFill="1" applyBorder="1" applyAlignment="1">
      <alignment horizontal="right"/>
    </xf>
    <xf numFmtId="3" fontId="44" fillId="0" borderId="17" xfId="0" applyNumberFormat="1" applyFont="1" applyFill="1" applyBorder="1" applyAlignment="1">
      <alignment horizontal="right"/>
    </xf>
    <xf numFmtId="0" fontId="44" fillId="0" borderId="59" xfId="0" applyFont="1" applyBorder="1" applyAlignment="1">
      <alignment horizontal="center"/>
    </xf>
    <xf numFmtId="49" fontId="56" fillId="0" borderId="36" xfId="0" applyNumberFormat="1" applyFont="1" applyFill="1" applyBorder="1" applyAlignment="1">
      <alignment horizontal="right"/>
    </xf>
    <xf numFmtId="49" fontId="44" fillId="0" borderId="39" xfId="0" applyNumberFormat="1" applyFont="1" applyFill="1" applyBorder="1" applyAlignment="1">
      <alignment horizontal="center"/>
    </xf>
    <xf numFmtId="0" fontId="44" fillId="0" borderId="67" xfId="0" applyFont="1" applyFill="1" applyBorder="1"/>
    <xf numFmtId="0" fontId="44" fillId="0" borderId="60" xfId="0" applyFont="1" applyFill="1" applyBorder="1"/>
    <xf numFmtId="167" fontId="50" fillId="0" borderId="35" xfId="0" applyNumberFormat="1" applyFont="1" applyFill="1" applyBorder="1" applyAlignment="1">
      <alignment horizontal="right"/>
    </xf>
    <xf numFmtId="3" fontId="44" fillId="0" borderId="36" xfId="0" applyNumberFormat="1" applyFont="1" applyFill="1" applyBorder="1" applyAlignment="1">
      <alignment horizontal="right"/>
    </xf>
    <xf numFmtId="3" fontId="44" fillId="0" borderId="58" xfId="0" applyNumberFormat="1" applyFont="1" applyFill="1" applyBorder="1" applyAlignment="1">
      <alignment horizontal="right"/>
    </xf>
    <xf numFmtId="0" fontId="58" fillId="0" borderId="0" xfId="0" applyFont="1" applyBorder="1"/>
    <xf numFmtId="0" fontId="26" fillId="0" borderId="0" xfId="0" applyFont="1" applyBorder="1"/>
    <xf numFmtId="167" fontId="0" fillId="0" borderId="0" xfId="0" applyNumberFormat="1" applyFont="1" applyBorder="1"/>
    <xf numFmtId="3" fontId="59" fillId="0" borderId="0" xfId="0" applyNumberFormat="1" applyFont="1" applyBorder="1"/>
    <xf numFmtId="3" fontId="59" fillId="0" borderId="0" xfId="0" applyNumberFormat="1" applyFont="1" applyFill="1"/>
    <xf numFmtId="0" fontId="57" fillId="7" borderId="28" xfId="0" applyFont="1" applyFill="1" applyBorder="1" applyAlignment="1"/>
    <xf numFmtId="0" fontId="57" fillId="7" borderId="49" xfId="0" applyFont="1" applyFill="1" applyBorder="1" applyAlignment="1"/>
    <xf numFmtId="0" fontId="44" fillId="0" borderId="24" xfId="0" applyFont="1" applyBorder="1" applyAlignment="1">
      <alignment horizontal="center"/>
    </xf>
    <xf numFmtId="49" fontId="54" fillId="15" borderId="23" xfId="0" applyNumberFormat="1" applyFont="1" applyFill="1" applyBorder="1" applyAlignment="1">
      <alignment horizontal="right"/>
    </xf>
    <xf numFmtId="0" fontId="44" fillId="8" borderId="0" xfId="0" applyFont="1" applyFill="1" applyBorder="1"/>
    <xf numFmtId="3" fontId="44" fillId="0" borderId="0" xfId="0" applyNumberFormat="1" applyFont="1" applyFill="1" applyBorder="1" applyAlignment="1">
      <alignment horizontal="right"/>
    </xf>
    <xf numFmtId="0" fontId="44" fillId="8" borderId="17" xfId="0" applyFont="1" applyFill="1" applyBorder="1"/>
    <xf numFmtId="3" fontId="52" fillId="10" borderId="41" xfId="0" applyNumberFormat="1" applyFont="1" applyFill="1" applyBorder="1" applyAlignment="1">
      <alignment horizontal="right"/>
    </xf>
    <xf numFmtId="3" fontId="52" fillId="10" borderId="0" xfId="0" applyNumberFormat="1" applyFont="1" applyFill="1" applyBorder="1" applyAlignment="1">
      <alignment horizontal="right"/>
    </xf>
    <xf numFmtId="0" fontId="0" fillId="0" borderId="23" xfId="0" applyFont="1" applyBorder="1"/>
    <xf numFmtId="0" fontId="44" fillId="8" borderId="18" xfId="0" applyFont="1" applyFill="1" applyBorder="1" applyAlignment="1">
      <alignment horizontal="center"/>
    </xf>
    <xf numFmtId="0" fontId="44" fillId="8" borderId="23" xfId="0" applyFont="1" applyFill="1" applyBorder="1" applyAlignment="1">
      <alignment horizontal="center"/>
    </xf>
    <xf numFmtId="1" fontId="0" fillId="9" borderId="69" xfId="0" applyNumberFormat="1" applyFont="1" applyFill="1" applyBorder="1" applyAlignment="1">
      <alignment horizontal="center" vertical="center"/>
    </xf>
    <xf numFmtId="167" fontId="60" fillId="7" borderId="13" xfId="0" applyNumberFormat="1" applyFont="1" applyFill="1" applyBorder="1" applyAlignment="1"/>
    <xf numFmtId="3" fontId="50" fillId="7" borderId="50" xfId="0" applyNumberFormat="1" applyFont="1" applyFill="1" applyBorder="1"/>
    <xf numFmtId="3" fontId="44" fillId="0" borderId="50" xfId="0" applyNumberFormat="1" applyFont="1" applyFill="1" applyBorder="1" applyAlignment="1">
      <alignment horizontal="right"/>
    </xf>
    <xf numFmtId="3" fontId="44" fillId="0" borderId="53" xfId="0" applyNumberFormat="1" applyFont="1" applyFill="1" applyBorder="1" applyAlignment="1">
      <alignment horizontal="right"/>
    </xf>
    <xf numFmtId="3" fontId="52" fillId="10" borderId="50" xfId="0" applyNumberFormat="1" applyFont="1" applyFill="1" applyBorder="1" applyAlignment="1"/>
    <xf numFmtId="0" fontId="0" fillId="15" borderId="53" xfId="0" applyFont="1" applyFill="1" applyBorder="1"/>
    <xf numFmtId="3" fontId="44" fillId="0" borderId="50" xfId="0" applyNumberFormat="1" applyFont="1" applyBorder="1"/>
    <xf numFmtId="3" fontId="44" fillId="0" borderId="53" xfId="0" applyNumberFormat="1" applyFont="1" applyBorder="1"/>
    <xf numFmtId="0" fontId="44" fillId="7" borderId="50" xfId="0" applyFont="1" applyFill="1" applyBorder="1"/>
    <xf numFmtId="167" fontId="44" fillId="7" borderId="24" xfId="0" applyNumberFormat="1" applyFont="1" applyFill="1" applyBorder="1" applyAlignment="1">
      <alignment horizontal="right"/>
    </xf>
    <xf numFmtId="3" fontId="50" fillId="7" borderId="41" xfId="0" applyNumberFormat="1" applyFont="1" applyFill="1" applyBorder="1" applyAlignment="1">
      <alignment horizontal="right"/>
    </xf>
    <xf numFmtId="0" fontId="56" fillId="0" borderId="23" xfId="0" applyFont="1" applyBorder="1" applyAlignment="1">
      <alignment horizontal="right"/>
    </xf>
    <xf numFmtId="0" fontId="0" fillId="0" borderId="53" xfId="0" applyFont="1" applyFill="1" applyBorder="1"/>
    <xf numFmtId="0" fontId="55" fillId="0" borderId="0" xfId="0" applyFont="1" applyBorder="1" applyAlignment="1">
      <alignment horizontal="center"/>
    </xf>
    <xf numFmtId="0" fontId="55" fillId="15" borderId="53" xfId="0" applyFont="1" applyFill="1" applyBorder="1"/>
    <xf numFmtId="0" fontId="55" fillId="0" borderId="0" xfId="0" applyFont="1"/>
    <xf numFmtId="0" fontId="0" fillId="0" borderId="0" xfId="0" applyFont="1" applyBorder="1" applyAlignment="1">
      <alignment horizontal="center"/>
    </xf>
    <xf numFmtId="0" fontId="44" fillId="0" borderId="50" xfId="0" applyFont="1" applyBorder="1"/>
    <xf numFmtId="0" fontId="0" fillId="0" borderId="24" xfId="0" applyFont="1" applyBorder="1" applyAlignment="1"/>
    <xf numFmtId="0" fontId="56" fillId="0" borderId="0" xfId="0" applyFont="1" applyBorder="1" applyAlignment="1"/>
    <xf numFmtId="0" fontId="44" fillId="0" borderId="17" xfId="0" applyFont="1" applyBorder="1" applyAlignment="1"/>
    <xf numFmtId="0" fontId="44" fillId="0" borderId="53" xfId="0" applyFont="1" applyBorder="1" applyAlignment="1"/>
    <xf numFmtId="0" fontId="53" fillId="10" borderId="0" xfId="0" applyFont="1" applyFill="1" applyBorder="1" applyAlignment="1">
      <alignment horizontal="center"/>
    </xf>
    <xf numFmtId="0" fontId="0" fillId="10" borderId="0" xfId="0" applyFont="1" applyFill="1" applyBorder="1" applyAlignment="1"/>
    <xf numFmtId="0" fontId="0" fillId="10" borderId="50" xfId="0" applyFont="1" applyFill="1" applyBorder="1" applyAlignment="1"/>
    <xf numFmtId="167" fontId="55" fillId="10" borderId="24" xfId="0" applyNumberFormat="1" applyFont="1" applyFill="1" applyBorder="1" applyAlignment="1"/>
    <xf numFmtId="0" fontId="44" fillId="0" borderId="36" xfId="0" applyFont="1" applyBorder="1" applyAlignment="1">
      <alignment horizontal="center"/>
    </xf>
    <xf numFmtId="49" fontId="56" fillId="0" borderId="39" xfId="0" applyNumberFormat="1" applyFont="1" applyFill="1" applyBorder="1" applyAlignment="1">
      <alignment horizontal="right"/>
    </xf>
    <xf numFmtId="0" fontId="44" fillId="8" borderId="67" xfId="0" applyFont="1" applyFill="1" applyBorder="1"/>
    <xf numFmtId="0" fontId="44" fillId="8" borderId="60" xfId="0" applyFont="1" applyFill="1" applyBorder="1"/>
    <xf numFmtId="167" fontId="44" fillId="0" borderId="35" xfId="0" applyNumberFormat="1" applyFont="1" applyFill="1" applyBorder="1" applyAlignment="1">
      <alignment horizontal="right"/>
    </xf>
    <xf numFmtId="3" fontId="44" fillId="0" borderId="60" xfId="0" applyNumberFormat="1" applyFont="1" applyFill="1" applyBorder="1" applyAlignment="1">
      <alignment horizontal="right"/>
    </xf>
    <xf numFmtId="0" fontId="49" fillId="7" borderId="64" xfId="0" applyFont="1" applyFill="1" applyBorder="1" applyAlignment="1">
      <alignment horizontal="left" vertical="center"/>
    </xf>
    <xf numFmtId="3" fontId="52" fillId="10" borderId="70" xfId="0" applyNumberFormat="1" applyFont="1" applyFill="1" applyBorder="1" applyAlignment="1"/>
    <xf numFmtId="3" fontId="50" fillId="15" borderId="53" xfId="0" applyNumberFormat="1" applyFont="1" applyFill="1" applyBorder="1" applyAlignment="1">
      <alignment horizontal="right"/>
    </xf>
    <xf numFmtId="0" fontId="53" fillId="10" borderId="0" xfId="0" applyFont="1" applyFill="1" applyBorder="1" applyAlignment="1">
      <alignment horizontal="left"/>
    </xf>
    <xf numFmtId="0" fontId="53" fillId="0" borderId="0" xfId="0" applyFont="1" applyFill="1" applyBorder="1" applyAlignment="1">
      <alignment horizontal="right"/>
    </xf>
    <xf numFmtId="49" fontId="54" fillId="15" borderId="0" xfId="0" applyNumberFormat="1" applyFont="1" applyFill="1" applyBorder="1" applyAlignment="1">
      <alignment horizontal="right"/>
    </xf>
    <xf numFmtId="3" fontId="44" fillId="15" borderId="54" xfId="0" applyNumberFormat="1" applyFont="1" applyFill="1" applyBorder="1" applyAlignment="1">
      <alignment horizontal="right"/>
    </xf>
    <xf numFmtId="3" fontId="44" fillId="15" borderId="53" xfId="0" applyNumberFormat="1" applyFont="1" applyFill="1" applyBorder="1" applyAlignment="1">
      <alignment horizontal="right"/>
    </xf>
    <xf numFmtId="167" fontId="50" fillId="0" borderId="17" xfId="0" applyNumberFormat="1" applyFont="1" applyFill="1" applyBorder="1" applyAlignment="1">
      <alignment horizontal="right"/>
    </xf>
    <xf numFmtId="0" fontId="44" fillId="0" borderId="19" xfId="0" applyFont="1" applyFill="1" applyBorder="1" applyAlignment="1">
      <alignment horizontal="center"/>
    </xf>
    <xf numFmtId="0" fontId="44" fillId="0" borderId="47" xfId="0" applyFont="1" applyFill="1" applyBorder="1"/>
    <xf numFmtId="167" fontId="50" fillId="0" borderId="20" xfId="0" applyNumberFormat="1" applyFont="1" applyFill="1" applyBorder="1" applyAlignment="1">
      <alignment horizontal="right"/>
    </xf>
    <xf numFmtId="3" fontId="44" fillId="0" borderId="47" xfId="0" applyNumberFormat="1" applyFont="1" applyFill="1" applyBorder="1" applyAlignment="1">
      <alignment horizontal="right"/>
    </xf>
    <xf numFmtId="0" fontId="0" fillId="10" borderId="0" xfId="0" applyFill="1" applyBorder="1"/>
    <xf numFmtId="0" fontId="0" fillId="0" borderId="0" xfId="0" applyBorder="1" applyAlignment="1">
      <alignment horizontal="center"/>
    </xf>
    <xf numFmtId="0" fontId="0" fillId="0" borderId="55" xfId="0" applyBorder="1"/>
    <xf numFmtId="0" fontId="56" fillId="0" borderId="55" xfId="0" applyFont="1" applyBorder="1"/>
    <xf numFmtId="0" fontId="44" fillId="0" borderId="52" xfId="0" applyFont="1" applyBorder="1" applyAlignment="1">
      <alignment horizontal="center"/>
    </xf>
    <xf numFmtId="0" fontId="44" fillId="0" borderId="53" xfId="0" applyFont="1" applyBorder="1"/>
    <xf numFmtId="0" fontId="0" fillId="0" borderId="36" xfId="0" applyBorder="1" applyAlignment="1">
      <alignment horizontal="center"/>
    </xf>
    <xf numFmtId="0" fontId="56" fillId="0" borderId="67" xfId="0" applyFont="1" applyBorder="1"/>
    <xf numFmtId="0" fontId="44" fillId="0" borderId="71" xfId="0" applyFont="1" applyBorder="1" applyAlignment="1">
      <alignment horizontal="center"/>
    </xf>
    <xf numFmtId="0" fontId="44" fillId="0" borderId="38" xfId="0" applyFont="1" applyBorder="1"/>
    <xf numFmtId="0" fontId="61" fillId="0" borderId="53" xfId="0" applyFont="1" applyFill="1" applyBorder="1"/>
    <xf numFmtId="167" fontId="62" fillId="0" borderId="16" xfId="0" applyNumberFormat="1" applyFont="1" applyFill="1" applyBorder="1" applyAlignment="1">
      <alignment horizontal="right"/>
    </xf>
    <xf numFmtId="0" fontId="44" fillId="0" borderId="59" xfId="0" applyFont="1" applyFill="1" applyBorder="1" applyAlignment="1">
      <alignment horizontal="center"/>
    </xf>
    <xf numFmtId="0" fontId="44" fillId="0" borderId="36" xfId="0" applyFont="1" applyFill="1" applyBorder="1"/>
    <xf numFmtId="0" fontId="51" fillId="10" borderId="72" xfId="0" applyFont="1" applyFill="1" applyBorder="1" applyAlignment="1">
      <alignment horizontal="center"/>
    </xf>
    <xf numFmtId="0" fontId="53" fillId="10" borderId="73" xfId="0" applyFont="1" applyFill="1" applyBorder="1" applyAlignment="1"/>
    <xf numFmtId="0" fontId="44" fillId="10" borderId="73" xfId="0" applyFont="1" applyFill="1" applyBorder="1" applyAlignment="1"/>
    <xf numFmtId="0" fontId="44" fillId="10" borderId="70" xfId="0" applyFont="1" applyFill="1" applyBorder="1" applyAlignment="1"/>
    <xf numFmtId="167" fontId="52" fillId="10" borderId="74" xfId="0" applyNumberFormat="1" applyFont="1" applyFill="1" applyBorder="1" applyAlignment="1"/>
    <xf numFmtId="49" fontId="44" fillId="0" borderId="31" xfId="0" applyNumberFormat="1" applyFont="1" applyFill="1" applyBorder="1" applyAlignment="1">
      <alignment horizontal="center"/>
    </xf>
    <xf numFmtId="0" fontId="44" fillId="8" borderId="38" xfId="0" applyFont="1" applyFill="1" applyBorder="1"/>
    <xf numFmtId="0" fontId="44" fillId="8" borderId="69" xfId="0" applyFont="1" applyFill="1" applyBorder="1"/>
    <xf numFmtId="167" fontId="44" fillId="0" borderId="37" xfId="0" applyNumberFormat="1" applyFont="1" applyFill="1" applyBorder="1" applyAlignment="1">
      <alignment horizontal="right"/>
    </xf>
    <xf numFmtId="3" fontId="44" fillId="0" borderId="62" xfId="0" applyNumberFormat="1" applyFont="1" applyFill="1" applyBorder="1" applyAlignment="1">
      <alignment horizontal="right"/>
    </xf>
    <xf numFmtId="167" fontId="0" fillId="9" borderId="63" xfId="0" applyNumberFormat="1" applyFont="1" applyFill="1" applyBorder="1" applyAlignment="1">
      <alignment horizontal="center"/>
    </xf>
    <xf numFmtId="0" fontId="60" fillId="7" borderId="28" xfId="0" applyFont="1" applyFill="1" applyBorder="1" applyAlignment="1">
      <alignment vertical="center"/>
    </xf>
    <xf numFmtId="0" fontId="63" fillId="7" borderId="28" xfId="0" applyFont="1" applyFill="1" applyBorder="1" applyAlignment="1"/>
    <xf numFmtId="0" fontId="63" fillId="7" borderId="49" xfId="0" applyFont="1" applyFill="1" applyBorder="1" applyAlignment="1"/>
    <xf numFmtId="0" fontId="52" fillId="0" borderId="50" xfId="0" applyFont="1" applyFill="1" applyBorder="1"/>
    <xf numFmtId="167" fontId="50" fillId="0" borderId="24" xfId="0" applyNumberFormat="1" applyFont="1" applyFill="1" applyBorder="1"/>
    <xf numFmtId="3" fontId="44" fillId="0" borderId="0" xfId="0" applyNumberFormat="1" applyFont="1" applyFill="1" applyBorder="1"/>
    <xf numFmtId="0" fontId="52" fillId="0" borderId="53" xfId="0" applyFont="1" applyFill="1" applyBorder="1"/>
    <xf numFmtId="167" fontId="50" fillId="0" borderId="16" xfId="0" applyNumberFormat="1" applyFont="1" applyFill="1" applyBorder="1"/>
    <xf numFmtId="3" fontId="44" fillId="0" borderId="17" xfId="0" applyNumberFormat="1" applyFont="1" applyFill="1" applyBorder="1"/>
    <xf numFmtId="167" fontId="48" fillId="0" borderId="24" xfId="0" applyNumberFormat="1" applyFont="1" applyFill="1" applyBorder="1" applyAlignment="1"/>
    <xf numFmtId="167" fontId="48" fillId="0" borderId="16" xfId="0" applyNumberFormat="1" applyFont="1" applyFill="1" applyBorder="1" applyAlignment="1"/>
    <xf numFmtId="3" fontId="50" fillId="15" borderId="17" xfId="0" applyNumberFormat="1" applyFont="1" applyFill="1" applyBorder="1" applyAlignment="1">
      <alignment horizontal="right"/>
    </xf>
    <xf numFmtId="3" fontId="50" fillId="3" borderId="0" xfId="0" applyNumberFormat="1" applyFont="1" applyFill="1" applyBorder="1" applyAlignment="1">
      <alignment horizontal="right"/>
    </xf>
    <xf numFmtId="0" fontId="0" fillId="0" borderId="42" xfId="0" applyFont="1" applyBorder="1" applyAlignment="1">
      <alignment horizontal="center"/>
    </xf>
    <xf numFmtId="49" fontId="50" fillId="3" borderId="0" xfId="0" applyNumberFormat="1" applyFont="1" applyFill="1" applyBorder="1" applyAlignment="1">
      <alignment horizontal="right"/>
    </xf>
    <xf numFmtId="0" fontId="44" fillId="3" borderId="50" xfId="0" applyFont="1" applyFill="1" applyBorder="1"/>
    <xf numFmtId="167" fontId="44" fillId="3" borderId="24" xfId="0" applyNumberFormat="1" applyFont="1" applyFill="1" applyBorder="1" applyAlignment="1">
      <alignment horizontal="right"/>
    </xf>
    <xf numFmtId="3" fontId="44" fillId="7" borderId="41" xfId="0" applyNumberFormat="1" applyFont="1" applyFill="1" applyBorder="1" applyAlignment="1">
      <alignment horizontal="right"/>
    </xf>
    <xf numFmtId="3" fontId="44" fillId="7" borderId="0" xfId="0" applyNumberFormat="1" applyFont="1" applyFill="1" applyBorder="1" applyAlignment="1">
      <alignment horizontal="right"/>
    </xf>
    <xf numFmtId="0" fontId="50" fillId="0" borderId="42" xfId="0" applyFont="1" applyBorder="1" applyAlignment="1">
      <alignment horizontal="center"/>
    </xf>
    <xf numFmtId="49" fontId="44" fillId="0" borderId="52" xfId="0" applyNumberFormat="1" applyFont="1" applyFill="1" applyBorder="1" applyAlignment="1">
      <alignment horizontal="center"/>
    </xf>
    <xf numFmtId="0" fontId="36" fillId="8" borderId="0" xfId="0" applyFont="1" applyFill="1" applyBorder="1"/>
    <xf numFmtId="4" fontId="44" fillId="0" borderId="0" xfId="0" applyNumberFormat="1" applyFont="1"/>
    <xf numFmtId="0" fontId="0" fillId="0" borderId="0" xfId="0" applyFont="1"/>
    <xf numFmtId="167" fontId="0" fillId="9" borderId="75" xfId="0" applyNumberFormat="1" applyFont="1" applyFill="1" applyBorder="1" applyAlignment="1">
      <alignment horizontal="center"/>
    </xf>
    <xf numFmtId="0" fontId="61" fillId="8" borderId="52" xfId="0" applyFont="1" applyFill="1" applyBorder="1"/>
    <xf numFmtId="3" fontId="61" fillId="0" borderId="54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0" fontId="61" fillId="8" borderId="17" xfId="0" applyFont="1" applyFill="1" applyBorder="1"/>
    <xf numFmtId="167" fontId="62" fillId="8" borderId="76" xfId="0" applyNumberFormat="1" applyFont="1" applyFill="1" applyBorder="1"/>
    <xf numFmtId="0" fontId="65" fillId="8" borderId="17" xfId="0" applyFont="1" applyFill="1" applyBorder="1"/>
    <xf numFmtId="167" fontId="62" fillId="8" borderId="17" xfId="0" applyNumberFormat="1" applyFont="1" applyFill="1" applyBorder="1"/>
    <xf numFmtId="0" fontId="0" fillId="8" borderId="17" xfId="0" applyFont="1" applyFill="1" applyBorder="1"/>
    <xf numFmtId="167" fontId="50" fillId="8" borderId="17" xfId="0" applyNumberFormat="1" applyFont="1" applyFill="1" applyBorder="1"/>
    <xf numFmtId="167" fontId="64" fillId="0" borderId="0" xfId="0" applyNumberFormat="1" applyFont="1" applyFill="1" applyBorder="1" applyAlignment="1">
      <alignment horizontal="right"/>
    </xf>
    <xf numFmtId="167" fontId="26" fillId="0" borderId="0" xfId="0" applyNumberFormat="1" applyFont="1"/>
    <xf numFmtId="0" fontId="49" fillId="7" borderId="75" xfId="0" applyFont="1" applyFill="1" applyBorder="1" applyAlignment="1">
      <alignment horizontal="left" vertical="center"/>
    </xf>
    <xf numFmtId="167" fontId="49" fillId="7" borderId="63" xfId="0" applyNumberFormat="1" applyFont="1" applyFill="1" applyBorder="1"/>
    <xf numFmtId="3" fontId="55" fillId="7" borderId="44" xfId="0" applyNumberFormat="1" applyFont="1" applyFill="1" applyBorder="1"/>
    <xf numFmtId="168" fontId="52" fillId="10" borderId="24" xfId="0" applyNumberFormat="1" applyFont="1" applyFill="1" applyBorder="1" applyAlignment="1"/>
    <xf numFmtId="3" fontId="52" fillId="10" borderId="24" xfId="0" applyNumberFormat="1" applyFont="1" applyFill="1" applyBorder="1" applyAlignment="1"/>
    <xf numFmtId="168" fontId="50" fillId="7" borderId="24" xfId="0" applyNumberFormat="1" applyFont="1" applyFill="1" applyBorder="1"/>
    <xf numFmtId="3" fontId="50" fillId="7" borderId="24" xfId="0" applyNumberFormat="1" applyFont="1" applyFill="1" applyBorder="1"/>
    <xf numFmtId="168" fontId="50" fillId="15" borderId="16" xfId="0" applyNumberFormat="1" applyFont="1" applyFill="1" applyBorder="1" applyAlignment="1">
      <alignment horizontal="right"/>
    </xf>
    <xf numFmtId="3" fontId="52" fillId="10" borderId="41" xfId="0" applyNumberFormat="1" applyFont="1" applyFill="1" applyBorder="1"/>
    <xf numFmtId="3" fontId="52" fillId="10" borderId="24" xfId="0" applyNumberFormat="1" applyFont="1" applyFill="1" applyBorder="1"/>
    <xf numFmtId="3" fontId="50" fillId="15" borderId="16" xfId="0" applyNumberFormat="1" applyFont="1" applyFill="1" applyBorder="1" applyAlignment="1"/>
    <xf numFmtId="3" fontId="44" fillId="0" borderId="16" xfId="0" applyNumberFormat="1" applyFont="1" applyFill="1" applyBorder="1" applyAlignment="1">
      <alignment horizontal="right"/>
    </xf>
    <xf numFmtId="0" fontId="0" fillId="10" borderId="77" xfId="0" applyFont="1" applyFill="1" applyBorder="1"/>
    <xf numFmtId="167" fontId="0" fillId="10" borderId="24" xfId="0" applyNumberFormat="1" applyFont="1" applyFill="1" applyBorder="1" applyAlignment="1">
      <alignment horizontal="right"/>
    </xf>
    <xf numFmtId="3" fontId="52" fillId="10" borderId="24" xfId="0" applyNumberFormat="1" applyFont="1" applyFill="1" applyBorder="1" applyAlignment="1">
      <alignment horizontal="right"/>
    </xf>
    <xf numFmtId="3" fontId="44" fillId="7" borderId="24" xfId="0" applyNumberFormat="1" applyFont="1" applyFill="1" applyBorder="1" applyAlignment="1">
      <alignment horizontal="right"/>
    </xf>
    <xf numFmtId="0" fontId="61" fillId="8" borderId="53" xfId="0" applyFont="1" applyFill="1" applyBorder="1"/>
    <xf numFmtId="167" fontId="61" fillId="0" borderId="16" xfId="0" applyNumberFormat="1" applyFont="1" applyFill="1" applyBorder="1" applyAlignment="1">
      <alignment horizontal="right"/>
    </xf>
    <xf numFmtId="3" fontId="61" fillId="0" borderId="16" xfId="0" applyNumberFormat="1" applyFont="1" applyFill="1" applyBorder="1" applyAlignment="1">
      <alignment horizontal="right"/>
    </xf>
    <xf numFmtId="167" fontId="44" fillId="0" borderId="58" xfId="0" applyNumberFormat="1" applyFont="1" applyFill="1" applyBorder="1" applyAlignment="1">
      <alignment horizontal="right"/>
    </xf>
    <xf numFmtId="3" fontId="44" fillId="0" borderId="58" xfId="0" applyNumberFormat="1" applyFont="1" applyBorder="1"/>
    <xf numFmtId="3" fontId="44" fillId="0" borderId="35" xfId="0" applyNumberFormat="1" applyFont="1" applyFill="1" applyBorder="1" applyAlignment="1">
      <alignment horizontal="right"/>
    </xf>
    <xf numFmtId="0" fontId="28" fillId="0" borderId="0" xfId="0" applyFont="1"/>
    <xf numFmtId="0" fontId="31" fillId="0" borderId="0" xfId="0" applyFont="1" applyFill="1" applyBorder="1"/>
    <xf numFmtId="3" fontId="31" fillId="0" borderId="0" xfId="0" applyNumberFormat="1" applyFont="1" applyFill="1" applyBorder="1" applyAlignment="1">
      <alignment horizontal="right"/>
    </xf>
    <xf numFmtId="0" fontId="55" fillId="10" borderId="74" xfId="0" applyFont="1" applyFill="1" applyBorder="1" applyAlignment="1">
      <alignment vertical="center"/>
    </xf>
    <xf numFmtId="0" fontId="55" fillId="10" borderId="70" xfId="0" applyFont="1" applyFill="1" applyBorder="1" applyAlignment="1">
      <alignment vertical="center"/>
    </xf>
    <xf numFmtId="0" fontId="55" fillId="10" borderId="24" xfId="0" applyFont="1" applyFill="1" applyBorder="1" applyAlignment="1">
      <alignment horizontal="left" vertical="center"/>
    </xf>
    <xf numFmtId="0" fontId="55" fillId="10" borderId="0" xfId="0" applyFont="1" applyFill="1" applyBorder="1" applyAlignment="1">
      <alignment horizontal="left" vertical="center"/>
    </xf>
    <xf numFmtId="0" fontId="0" fillId="10" borderId="27" xfId="0" applyFont="1" applyFill="1" applyBorder="1" applyAlignment="1">
      <alignment horizontal="center"/>
    </xf>
    <xf numFmtId="0" fontId="0" fillId="10" borderId="44" xfId="0" applyFont="1" applyFill="1" applyBorder="1" applyAlignment="1">
      <alignment horizontal="center"/>
    </xf>
    <xf numFmtId="0" fontId="55" fillId="10" borderId="35" xfId="0" applyFont="1" applyFill="1" applyBorder="1" applyAlignment="1">
      <alignment horizontal="left" vertical="center"/>
    </xf>
    <xf numFmtId="0" fontId="55" fillId="10" borderId="36" xfId="0" applyFont="1" applyFill="1" applyBorder="1" applyAlignment="1">
      <alignment horizontal="left" vertical="center"/>
    </xf>
    <xf numFmtId="0" fontId="6" fillId="10" borderId="41" xfId="0" applyFont="1" applyFill="1" applyBorder="1" applyAlignment="1">
      <alignment horizontal="center" vertical="center"/>
    </xf>
    <xf numFmtId="0" fontId="6" fillId="10" borderId="62" xfId="0" applyFont="1" applyFill="1" applyBorder="1" applyAlignment="1">
      <alignment horizontal="center" vertical="center"/>
    </xf>
    <xf numFmtId="0" fontId="53" fillId="0" borderId="74" xfId="0" applyFont="1" applyFill="1" applyBorder="1" applyAlignment="1">
      <alignment horizontal="left" vertical="center"/>
    </xf>
    <xf numFmtId="0" fontId="0" fillId="0" borderId="73" xfId="0" applyFont="1" applyFill="1" applyBorder="1" applyAlignment="1">
      <alignment horizontal="left" vertical="center"/>
    </xf>
    <xf numFmtId="3" fontId="66" fillId="0" borderId="48" xfId="0" applyNumberFormat="1" applyFont="1" applyBorder="1"/>
    <xf numFmtId="0" fontId="66" fillId="0" borderId="48" xfId="0" applyFont="1" applyBorder="1"/>
    <xf numFmtId="0" fontId="0" fillId="0" borderId="16" xfId="0" applyFont="1" applyBorder="1"/>
    <xf numFmtId="0" fontId="0" fillId="0" borderId="17" xfId="0" applyFont="1" applyBorder="1"/>
    <xf numFmtId="3" fontId="0" fillId="0" borderId="54" xfId="0" applyNumberFormat="1" applyFont="1" applyBorder="1"/>
    <xf numFmtId="0" fontId="0" fillId="0" borderId="24" xfId="0" applyFont="1" applyBorder="1"/>
    <xf numFmtId="0" fontId="0" fillId="0" borderId="0" xfId="0" applyFont="1" applyBorder="1"/>
    <xf numFmtId="0" fontId="55" fillId="15" borderId="25" xfId="0" applyFont="1" applyFill="1" applyBorder="1"/>
    <xf numFmtId="3" fontId="55" fillId="0" borderId="0" xfId="0" applyNumberFormat="1" applyFont="1"/>
    <xf numFmtId="0" fontId="55" fillId="0" borderId="24" xfId="0" applyFont="1" applyFill="1" applyBorder="1"/>
    <xf numFmtId="0" fontId="55" fillId="0" borderId="0" xfId="0" applyFont="1" applyFill="1" applyBorder="1"/>
    <xf numFmtId="3" fontId="0" fillId="0" borderId="41" xfId="0" applyNumberFormat="1" applyFont="1" applyFill="1" applyBorder="1"/>
    <xf numFmtId="0" fontId="53" fillId="0" borderId="16" xfId="0" applyFont="1" applyFill="1" applyBorder="1"/>
    <xf numFmtId="0" fontId="53" fillId="0" borderId="17" xfId="0" applyFont="1" applyFill="1" applyBorder="1"/>
    <xf numFmtId="0" fontId="0" fillId="0" borderId="55" xfId="0" applyFont="1" applyBorder="1"/>
    <xf numFmtId="0" fontId="55" fillId="15" borderId="78" xfId="0" applyFont="1" applyFill="1" applyBorder="1"/>
    <xf numFmtId="0" fontId="0" fillId="0" borderId="25" xfId="0" applyFont="1" applyBorder="1"/>
    <xf numFmtId="0" fontId="6" fillId="10" borderId="58" xfId="0" applyFont="1" applyFill="1" applyBorder="1" applyAlignment="1">
      <alignment horizontal="center" vertical="center"/>
    </xf>
    <xf numFmtId="4" fontId="6" fillId="0" borderId="0" xfId="569" applyNumberFormat="1" applyFont="1" applyBorder="1"/>
    <xf numFmtId="4" fontId="6" fillId="0" borderId="0" xfId="569" applyNumberFormat="1" applyFont="1" applyBorder="1" applyAlignment="1">
      <alignment horizontal="center"/>
    </xf>
    <xf numFmtId="166" fontId="26" fillId="0" borderId="0" xfId="548" applyFont="1" applyFill="1" applyBorder="1" applyAlignment="1" applyProtection="1"/>
    <xf numFmtId="0" fontId="31" fillId="3" borderId="0" xfId="569" applyFont="1" applyFill="1" applyBorder="1"/>
    <xf numFmtId="4" fontId="31" fillId="0" borderId="0" xfId="569" applyNumberFormat="1" applyFont="1" applyBorder="1"/>
    <xf numFmtId="0" fontId="43" fillId="7" borderId="14" xfId="569" applyFont="1" applyFill="1" applyBorder="1" applyAlignment="1">
      <alignment horizontal="center"/>
    </xf>
    <xf numFmtId="4" fontId="43" fillId="0" borderId="0" xfId="569" applyNumberFormat="1" applyFont="1" applyFill="1" applyBorder="1" applyAlignment="1">
      <alignment horizontal="justify" vertical="top"/>
    </xf>
    <xf numFmtId="1" fontId="43" fillId="0" borderId="0" xfId="569" applyNumberFormat="1" applyFont="1" applyFill="1" applyBorder="1" applyAlignment="1">
      <alignment horizontal="justify" vertical="top"/>
    </xf>
    <xf numFmtId="1" fontId="43" fillId="0" borderId="0" xfId="569" applyNumberFormat="1" applyFont="1" applyFill="1" applyBorder="1" applyAlignment="1">
      <alignment horizontal="center" vertical="center"/>
    </xf>
    <xf numFmtId="0" fontId="67" fillId="0" borderId="0" xfId="569" applyFont="1" applyFill="1" applyBorder="1" applyAlignment="1">
      <alignment horizontal="left"/>
    </xf>
    <xf numFmtId="0" fontId="68" fillId="0" borderId="0" xfId="569" applyFont="1" applyFill="1" applyBorder="1"/>
    <xf numFmtId="3" fontId="35" fillId="0" borderId="0" xfId="569" applyNumberFormat="1" applyFont="1" applyFill="1" applyBorder="1"/>
    <xf numFmtId="0" fontId="67" fillId="0" borderId="0" xfId="569" applyFont="1" applyBorder="1" applyAlignment="1">
      <alignment horizontal="left"/>
    </xf>
    <xf numFmtId="0" fontId="36" fillId="0" borderId="17" xfId="569" applyFont="1" applyFill="1" applyBorder="1" applyAlignment="1">
      <alignment vertical="top"/>
    </xf>
    <xf numFmtId="0" fontId="69" fillId="0" borderId="16" xfId="569" applyFont="1" applyBorder="1"/>
    <xf numFmtId="4" fontId="69" fillId="0" borderId="0" xfId="569" applyNumberFormat="1" applyFont="1" applyFill="1" applyBorder="1"/>
    <xf numFmtId="0" fontId="70" fillId="0" borderId="16" xfId="569" applyFont="1" applyBorder="1"/>
    <xf numFmtId="0" fontId="70" fillId="0" borderId="17" xfId="569" applyFont="1" applyFill="1" applyBorder="1" applyAlignment="1">
      <alignment vertical="top"/>
    </xf>
    <xf numFmtId="0" fontId="37" fillId="8" borderId="16" xfId="569" applyFont="1" applyFill="1" applyBorder="1" applyAlignment="1">
      <alignment horizontal="right"/>
    </xf>
    <xf numFmtId="0" fontId="37" fillId="8" borderId="17" xfId="569" applyFont="1" applyFill="1" applyBorder="1"/>
    <xf numFmtId="0" fontId="71" fillId="0" borderId="16" xfId="569" applyFont="1" applyFill="1" applyBorder="1"/>
    <xf numFmtId="0" fontId="71" fillId="0" borderId="17" xfId="569" applyFont="1" applyFill="1" applyBorder="1"/>
    <xf numFmtId="4" fontId="71" fillId="0" borderId="0" xfId="569" applyNumberFormat="1" applyFont="1" applyFill="1" applyBorder="1"/>
    <xf numFmtId="0" fontId="71" fillId="0" borderId="0" xfId="569" applyFont="1" applyFill="1" applyBorder="1"/>
    <xf numFmtId="3" fontId="71" fillId="0" borderId="0" xfId="569" applyNumberFormat="1" applyFont="1" applyFill="1" applyBorder="1"/>
    <xf numFmtId="0" fontId="71" fillId="0" borderId="20" xfId="569" applyFont="1" applyFill="1" applyBorder="1"/>
    <xf numFmtId="0" fontId="71" fillId="0" borderId="21" xfId="569" applyFont="1" applyFill="1" applyBorder="1"/>
    <xf numFmtId="0" fontId="69" fillId="0" borderId="16" xfId="569" applyFont="1" applyFill="1" applyBorder="1"/>
    <xf numFmtId="0" fontId="69" fillId="0" borderId="17" xfId="569" applyFont="1" applyFill="1" applyBorder="1"/>
    <xf numFmtId="0" fontId="72" fillId="0" borderId="0" xfId="569" applyFont="1" applyFill="1" applyBorder="1"/>
    <xf numFmtId="3" fontId="72" fillId="0" borderId="0" xfId="569" applyNumberFormat="1" applyFont="1" applyFill="1" applyBorder="1"/>
    <xf numFmtId="0" fontId="73" fillId="0" borderId="0" xfId="569" applyFont="1" applyFill="1" applyBorder="1"/>
    <xf numFmtId="0" fontId="74" fillId="0" borderId="63" xfId="569" applyFont="1" applyFill="1" applyBorder="1"/>
    <xf numFmtId="0" fontId="74" fillId="0" borderId="64" xfId="569" applyFont="1" applyFill="1" applyBorder="1"/>
    <xf numFmtId="4" fontId="74" fillId="0" borderId="0" xfId="569" applyNumberFormat="1" applyFont="1" applyFill="1" applyBorder="1" applyAlignment="1">
      <alignment horizontal="right"/>
    </xf>
    <xf numFmtId="3" fontId="74" fillId="0" borderId="0" xfId="569" applyNumberFormat="1" applyFont="1" applyFill="1" applyBorder="1" applyAlignment="1">
      <alignment horizontal="right"/>
    </xf>
    <xf numFmtId="0" fontId="36" fillId="0" borderId="63" xfId="569" applyFont="1" applyFill="1" applyBorder="1"/>
    <xf numFmtId="0" fontId="36" fillId="0" borderId="64" xfId="569" applyFont="1" applyFill="1" applyBorder="1"/>
    <xf numFmtId="165" fontId="36" fillId="0" borderId="17" xfId="410" applyFont="1" applyFill="1" applyBorder="1" applyAlignment="1" applyProtection="1">
      <alignment horizontal="left"/>
    </xf>
    <xf numFmtId="0" fontId="69" fillId="0" borderId="17" xfId="569" applyFont="1" applyBorder="1"/>
    <xf numFmtId="0" fontId="73" fillId="0" borderId="0" xfId="569" applyFont="1" applyBorder="1"/>
    <xf numFmtId="0" fontId="67" fillId="0" borderId="0" xfId="569" applyFont="1" applyBorder="1"/>
    <xf numFmtId="0" fontId="69" fillId="0" borderId="0" xfId="569" applyFont="1" applyFill="1" applyBorder="1"/>
    <xf numFmtId="3" fontId="69" fillId="0" borderId="0" xfId="569" applyNumberFormat="1" applyFont="1" applyFill="1" applyBorder="1"/>
    <xf numFmtId="4" fontId="74" fillId="0" borderId="0" xfId="569" applyNumberFormat="1" applyFont="1" applyFill="1" applyBorder="1"/>
    <xf numFmtId="3" fontId="74" fillId="0" borderId="0" xfId="569" applyNumberFormat="1" applyFont="1" applyFill="1" applyBorder="1"/>
    <xf numFmtId="0" fontId="36" fillId="0" borderId="63" xfId="569" applyFont="1" applyBorder="1"/>
    <xf numFmtId="0" fontId="36" fillId="0" borderId="64" xfId="569" applyFont="1" applyBorder="1"/>
    <xf numFmtId="0" fontId="69" fillId="0" borderId="63" xfId="569" applyFont="1" applyBorder="1"/>
    <xf numFmtId="0" fontId="69" fillId="0" borderId="64" xfId="569" applyFont="1" applyBorder="1"/>
    <xf numFmtId="0" fontId="74" fillId="0" borderId="16" xfId="569" applyFont="1" applyFill="1" applyBorder="1"/>
    <xf numFmtId="0" fontId="74" fillId="0" borderId="17" xfId="569" applyFont="1" applyFill="1" applyBorder="1"/>
    <xf numFmtId="0" fontId="36" fillId="0" borderId="24" xfId="569" applyFont="1" applyBorder="1"/>
    <xf numFmtId="0" fontId="38" fillId="0" borderId="0" xfId="569" applyFont="1" applyFill="1" applyBorder="1" applyAlignment="1">
      <alignment horizontal="left"/>
    </xf>
    <xf numFmtId="3" fontId="69" fillId="0" borderId="0" xfId="569" applyNumberFormat="1" applyFont="1" applyFill="1" applyBorder="1" applyAlignment="1">
      <alignment horizontal="right"/>
    </xf>
    <xf numFmtId="3" fontId="40" fillId="0" borderId="0" xfId="569" applyNumberFormat="1" applyFont="1" applyFill="1" applyBorder="1" applyAlignment="1">
      <alignment horizontal="right"/>
    </xf>
    <xf numFmtId="0" fontId="0" fillId="0" borderId="24" xfId="0" applyBorder="1"/>
    <xf numFmtId="0" fontId="69" fillId="0" borderId="20" xfId="569" applyFont="1" applyBorder="1"/>
    <xf numFmtId="0" fontId="69" fillId="0" borderId="21" xfId="569" applyFont="1" applyBorder="1"/>
    <xf numFmtId="0" fontId="74" fillId="0" borderId="16" xfId="569" applyFont="1" applyFill="1" applyBorder="1" applyAlignment="1">
      <alignment horizontal="right"/>
    </xf>
    <xf numFmtId="0" fontId="75" fillId="0" borderId="0" xfId="569" applyFont="1" applyFill="1" applyBorder="1"/>
    <xf numFmtId="0" fontId="36" fillId="0" borderId="63" xfId="569" applyFont="1" applyFill="1" applyBorder="1" applyAlignment="1">
      <alignment horizontal="right"/>
    </xf>
    <xf numFmtId="3" fontId="36" fillId="0" borderId="0" xfId="569" applyNumberFormat="1" applyFont="1" applyFill="1" applyBorder="1" applyAlignment="1">
      <alignment horizontal="left"/>
    </xf>
    <xf numFmtId="0" fontId="36" fillId="0" borderId="24" xfId="569" applyFont="1" applyFill="1" applyBorder="1" applyAlignment="1">
      <alignment horizontal="right"/>
    </xf>
    <xf numFmtId="0" fontId="34" fillId="15" borderId="17" xfId="569" applyFont="1" applyFill="1" applyBorder="1"/>
    <xf numFmtId="0" fontId="35" fillId="0" borderId="0" xfId="569" applyFont="1" applyFill="1" applyBorder="1"/>
    <xf numFmtId="0" fontId="34" fillId="15" borderId="21" xfId="569" applyFont="1" applyFill="1" applyBorder="1"/>
    <xf numFmtId="3" fontId="69" fillId="0" borderId="0" xfId="569" applyNumberFormat="1" applyFont="1" applyFill="1" applyBorder="1" applyAlignment="1">
      <alignment horizontal="left"/>
    </xf>
    <xf numFmtId="2" fontId="76" fillId="0" borderId="0" xfId="569" applyNumberFormat="1" applyFont="1" applyBorder="1" applyAlignment="1">
      <alignment horizontal="left"/>
    </xf>
    <xf numFmtId="4" fontId="36" fillId="0" borderId="0" xfId="569" applyNumberFormat="1" applyFont="1" applyFill="1" applyBorder="1" applyAlignment="1">
      <alignment horizontal="left"/>
    </xf>
    <xf numFmtId="0" fontId="43" fillId="0" borderId="0" xfId="569" applyFont="1" applyFill="1" applyBorder="1" applyAlignment="1">
      <alignment horizontal="justify" vertical="center"/>
    </xf>
    <xf numFmtId="0" fontId="43" fillId="0" borderId="0" xfId="569" applyFont="1" applyFill="1" applyBorder="1" applyAlignment="1">
      <alignment horizontal="center" vertical="center"/>
    </xf>
    <xf numFmtId="2" fontId="43" fillId="0" borderId="0" xfId="569" applyNumberFormat="1" applyFont="1" applyFill="1" applyBorder="1" applyAlignment="1">
      <alignment horizontal="justify" vertical="center"/>
    </xf>
    <xf numFmtId="0" fontId="68" fillId="0" borderId="0" xfId="569" applyFont="1" applyBorder="1"/>
    <xf numFmtId="1" fontId="35" fillId="0" borderId="0" xfId="569" applyNumberFormat="1" applyFont="1" applyFill="1" applyBorder="1"/>
    <xf numFmtId="2" fontId="35" fillId="0" borderId="0" xfId="569" applyNumberFormat="1" applyFont="1" applyFill="1" applyBorder="1"/>
    <xf numFmtId="0" fontId="37" fillId="0" borderId="0" xfId="569" applyFont="1" applyFill="1" applyBorder="1"/>
    <xf numFmtId="0" fontId="34" fillId="0" borderId="0" xfId="569" applyFont="1" applyBorder="1"/>
    <xf numFmtId="0" fontId="36" fillId="0" borderId="0" xfId="569" applyFont="1" applyFill="1" applyBorder="1" applyAlignment="1">
      <alignment horizontal="right"/>
    </xf>
    <xf numFmtId="49" fontId="31" fillId="0" borderId="0" xfId="569" applyNumberFormat="1" applyFont="1" applyFill="1" applyBorder="1" applyAlignment="1">
      <alignment horizontal="right"/>
    </xf>
    <xf numFmtId="4" fontId="31" fillId="0" borderId="0" xfId="569" applyNumberFormat="1" applyFont="1" applyFill="1" applyBorder="1" applyAlignment="1">
      <alignment horizontal="right"/>
    </xf>
    <xf numFmtId="4" fontId="31" fillId="0" borderId="0" xfId="569" applyNumberFormat="1" applyFont="1" applyFill="1" applyBorder="1" applyAlignment="1">
      <alignment horizontal="center"/>
    </xf>
    <xf numFmtId="0" fontId="31" fillId="0" borderId="0" xfId="569" applyFont="1" applyFill="1" applyBorder="1" applyAlignment="1">
      <alignment horizontal="center"/>
    </xf>
    <xf numFmtId="3" fontId="35" fillId="0" borderId="0" xfId="569" applyNumberFormat="1" applyFont="1" applyFill="1" applyBorder="1" applyAlignment="1">
      <alignment horizontal="right"/>
    </xf>
    <xf numFmtId="0" fontId="36" fillId="0" borderId="0" xfId="569" applyFont="1" applyFill="1" applyBorder="1" applyAlignment="1">
      <alignment horizontal="left"/>
    </xf>
    <xf numFmtId="4" fontId="76" fillId="0" borderId="0" xfId="569" applyNumberFormat="1" applyFont="1" applyBorder="1" applyAlignment="1">
      <alignment horizontal="left"/>
    </xf>
    <xf numFmtId="0" fontId="6" fillId="0" borderId="55" xfId="569" applyFont="1" applyFill="1" applyBorder="1"/>
    <xf numFmtId="3" fontId="70" fillId="0" borderId="0" xfId="569" applyNumberFormat="1" applyFont="1" applyFill="1" applyBorder="1"/>
    <xf numFmtId="4" fontId="76" fillId="0" borderId="0" xfId="569" applyNumberFormat="1" applyFont="1" applyFill="1" applyBorder="1" applyAlignment="1">
      <alignment horizontal="left"/>
    </xf>
    <xf numFmtId="49" fontId="31" fillId="8" borderId="0" xfId="569" applyNumberFormat="1" applyFont="1" applyFill="1" applyBorder="1" applyAlignment="1">
      <alignment horizontal="right"/>
    </xf>
    <xf numFmtId="0" fontId="36" fillId="8" borderId="0" xfId="569" applyFont="1" applyFill="1" applyBorder="1"/>
    <xf numFmtId="0" fontId="31" fillId="8" borderId="0" xfId="569" applyFont="1" applyFill="1" applyBorder="1"/>
    <xf numFmtId="4" fontId="31" fillId="8" borderId="0" xfId="569" applyNumberFormat="1" applyFont="1" applyFill="1" applyBorder="1" applyAlignment="1">
      <alignment horizontal="right"/>
    </xf>
    <xf numFmtId="4" fontId="31" fillId="8" borderId="0" xfId="569" applyNumberFormat="1" applyFont="1" applyFill="1" applyBorder="1" applyAlignment="1">
      <alignment horizontal="center"/>
    </xf>
    <xf numFmtId="2" fontId="34" fillId="0" borderId="0" xfId="569" applyNumberFormat="1" applyFont="1" applyFill="1" applyBorder="1"/>
    <xf numFmtId="3" fontId="31" fillId="0" borderId="0" xfId="569" applyNumberFormat="1" applyFont="1" applyFill="1" applyBorder="1" applyAlignment="1"/>
    <xf numFmtId="0" fontId="70" fillId="0" borderId="0" xfId="569" applyFont="1" applyFill="1" applyBorder="1" applyAlignment="1">
      <alignment horizontal="left"/>
    </xf>
    <xf numFmtId="0" fontId="70" fillId="0" borderId="0" xfId="569" applyFont="1" applyFill="1" applyBorder="1"/>
    <xf numFmtId="0" fontId="37" fillId="0" borderId="55" xfId="569" applyFont="1" applyBorder="1"/>
    <xf numFmtId="3" fontId="6" fillId="0" borderId="0" xfId="569" applyNumberFormat="1" applyFont="1" applyFill="1" applyBorder="1" applyAlignment="1">
      <alignment horizontal="center"/>
    </xf>
    <xf numFmtId="0" fontId="38" fillId="0" borderId="21" xfId="569" applyFont="1" applyFill="1" applyBorder="1"/>
    <xf numFmtId="0" fontId="38" fillId="0" borderId="17" xfId="569" applyFont="1" applyFill="1" applyBorder="1"/>
    <xf numFmtId="0" fontId="38" fillId="0" borderId="0" xfId="569" applyFont="1" applyFill="1" applyBorder="1"/>
    <xf numFmtId="2" fontId="37" fillId="0" borderId="0" xfId="569" applyNumberFormat="1" applyFont="1" applyFill="1" applyBorder="1"/>
    <xf numFmtId="0" fontId="69" fillId="0" borderId="0" xfId="569" applyFont="1" applyBorder="1" applyAlignment="1">
      <alignment horizontal="left"/>
    </xf>
    <xf numFmtId="0" fontId="76" fillId="0" borderId="0" xfId="569" applyFont="1" applyFill="1" applyBorder="1"/>
    <xf numFmtId="3" fontId="67" fillId="0" borderId="0" xfId="569" applyNumberFormat="1" applyFont="1" applyFill="1" applyBorder="1" applyAlignment="1">
      <alignment horizontal="left"/>
    </xf>
    <xf numFmtId="0" fontId="77" fillId="0" borderId="0" xfId="569" applyFont="1" applyFill="1" applyBorder="1" applyAlignment="1">
      <alignment horizontal="left"/>
    </xf>
    <xf numFmtId="4" fontId="37" fillId="0" borderId="0" xfId="569" applyNumberFormat="1" applyFont="1" applyBorder="1"/>
    <xf numFmtId="4" fontId="37" fillId="0" borderId="0" xfId="569" applyNumberFormat="1" applyFont="1" applyBorder="1" applyAlignment="1">
      <alignment horizontal="center"/>
    </xf>
    <xf numFmtId="49" fontId="31" fillId="8" borderId="0" xfId="569" applyNumberFormat="1" applyFont="1" applyFill="1" applyBorder="1" applyAlignment="1"/>
    <xf numFmtId="4" fontId="31" fillId="8" borderId="0" xfId="569" applyNumberFormat="1" applyFont="1" applyFill="1" applyBorder="1" applyAlignment="1"/>
    <xf numFmtId="4" fontId="6" fillId="0" borderId="0" xfId="569" applyNumberFormat="1" applyFont="1" applyFill="1" applyBorder="1" applyAlignment="1">
      <alignment horizontal="left"/>
    </xf>
    <xf numFmtId="4" fontId="6" fillId="0" borderId="0" xfId="569" applyNumberFormat="1" applyFont="1" applyFill="1" applyBorder="1" applyAlignment="1">
      <alignment horizontal="center"/>
    </xf>
    <xf numFmtId="0" fontId="37" fillId="0" borderId="16" xfId="569" applyFont="1" applyFill="1" applyBorder="1"/>
    <xf numFmtId="0" fontId="37" fillId="0" borderId="17" xfId="569" applyFont="1" applyBorder="1"/>
    <xf numFmtId="0" fontId="37" fillId="0" borderId="17" xfId="569" applyFont="1" applyFill="1" applyBorder="1"/>
    <xf numFmtId="0" fontId="37" fillId="0" borderId="17" xfId="569" applyFont="1" applyFill="1" applyBorder="1" applyAlignment="1">
      <alignment vertical="top"/>
    </xf>
    <xf numFmtId="0" fontId="38" fillId="0" borderId="17" xfId="569" applyFont="1" applyFill="1" applyBorder="1" applyAlignment="1">
      <alignment vertical="top"/>
    </xf>
    <xf numFmtId="0" fontId="36" fillId="0" borderId="55" xfId="569" applyFont="1" applyBorder="1"/>
    <xf numFmtId="4" fontId="36" fillId="0" borderId="0" xfId="569" applyNumberFormat="1" applyFont="1" applyBorder="1"/>
    <xf numFmtId="0" fontId="36" fillId="0" borderId="17" xfId="569" applyFont="1" applyFill="1" applyBorder="1" applyAlignment="1">
      <alignment horizontal="right"/>
    </xf>
    <xf numFmtId="0" fontId="77" fillId="0" borderId="0" xfId="569" applyFont="1" applyBorder="1"/>
    <xf numFmtId="0" fontId="69" fillId="0" borderId="0" xfId="569" applyFont="1" applyFill="1" applyBorder="1" applyAlignment="1">
      <alignment horizontal="right"/>
    </xf>
    <xf numFmtId="4" fontId="33" fillId="0" borderId="0" xfId="569" applyNumberFormat="1" applyFont="1" applyFill="1" applyBorder="1"/>
    <xf numFmtId="3" fontId="36" fillId="0" borderId="0" xfId="569" applyNumberFormat="1" applyFont="1" applyFill="1" applyBorder="1" applyAlignment="1">
      <alignment horizontal="right" vertical="center"/>
    </xf>
    <xf numFmtId="3" fontId="36" fillId="0" borderId="0" xfId="569" applyNumberFormat="1" applyFont="1" applyFill="1" applyBorder="1" applyAlignment="1">
      <alignment horizontal="left" vertical="center"/>
    </xf>
    <xf numFmtId="3" fontId="38" fillId="0" borderId="0" xfId="569" applyNumberFormat="1" applyFont="1" applyFill="1" applyBorder="1" applyAlignment="1">
      <alignment horizontal="left"/>
    </xf>
    <xf numFmtId="3" fontId="38" fillId="0" borderId="0" xfId="569" applyNumberFormat="1" applyFont="1" applyFill="1" applyBorder="1" applyAlignment="1">
      <alignment horizontal="right"/>
    </xf>
    <xf numFmtId="0" fontId="69" fillId="8" borderId="17" xfId="569" applyFont="1" applyFill="1" applyBorder="1"/>
    <xf numFmtId="4" fontId="79" fillId="0" borderId="0" xfId="569" applyNumberFormat="1" applyFont="1" applyFill="1" applyBorder="1" applyAlignment="1">
      <alignment horizontal="right"/>
    </xf>
    <xf numFmtId="3" fontId="78" fillId="0" borderId="0" xfId="569" applyNumberFormat="1" applyFont="1" applyFill="1" applyBorder="1" applyAlignment="1">
      <alignment horizontal="left"/>
    </xf>
    <xf numFmtId="3" fontId="67" fillId="0" borderId="0" xfId="569" applyNumberFormat="1" applyFont="1" applyFill="1" applyBorder="1" applyAlignment="1">
      <alignment horizontal="right"/>
    </xf>
    <xf numFmtId="0" fontId="78" fillId="0" borderId="0" xfId="569" applyFont="1" applyFill="1" applyBorder="1" applyAlignment="1">
      <alignment horizontal="left"/>
    </xf>
    <xf numFmtId="0" fontId="67" fillId="0" borderId="0" xfId="569" applyFont="1" applyFill="1" applyBorder="1"/>
    <xf numFmtId="0" fontId="6" fillId="8" borderId="0" xfId="569" applyFont="1" applyFill="1" applyBorder="1"/>
    <xf numFmtId="4" fontId="31" fillId="8" borderId="0" xfId="569" applyNumberFormat="1" applyFont="1" applyFill="1" applyBorder="1"/>
    <xf numFmtId="0" fontId="35" fillId="0" borderId="0" xfId="569" applyFont="1" applyBorder="1"/>
    <xf numFmtId="3" fontId="67" fillId="0" borderId="0" xfId="569" applyNumberFormat="1" applyFont="1" applyFill="1" applyBorder="1"/>
    <xf numFmtId="169" fontId="37" fillId="0" borderId="0" xfId="569" applyNumberFormat="1" applyFont="1" applyFill="1" applyBorder="1"/>
    <xf numFmtId="170" fontId="37" fillId="0" borderId="0" xfId="569" applyNumberFormat="1" applyFont="1" applyFill="1" applyBorder="1"/>
    <xf numFmtId="169" fontId="36" fillId="0" borderId="0" xfId="569" applyNumberFormat="1" applyFont="1" applyFill="1" applyBorder="1" applyAlignment="1">
      <alignment horizontal="left"/>
    </xf>
    <xf numFmtId="169" fontId="36" fillId="0" borderId="0" xfId="569" applyNumberFormat="1" applyFont="1" applyFill="1" applyBorder="1"/>
    <xf numFmtId="169" fontId="35" fillId="0" borderId="0" xfId="569" applyNumberFormat="1" applyFont="1" applyFill="1" applyBorder="1"/>
    <xf numFmtId="0" fontId="34" fillId="0" borderId="0" xfId="569" applyFont="1" applyFill="1" applyBorder="1"/>
    <xf numFmtId="169" fontId="37" fillId="0" borderId="0" xfId="569" applyNumberFormat="1" applyFont="1" applyFill="1" applyBorder="1" applyAlignment="1">
      <alignment horizontal="right"/>
    </xf>
    <xf numFmtId="0" fontId="43" fillId="4" borderId="13" xfId="569" applyFont="1" applyFill="1" applyBorder="1"/>
    <xf numFmtId="0" fontId="68" fillId="4" borderId="68" xfId="569" applyFont="1" applyFill="1" applyBorder="1"/>
    <xf numFmtId="0" fontId="68" fillId="4" borderId="28" xfId="569" applyFont="1" applyFill="1" applyBorder="1"/>
    <xf numFmtId="1" fontId="43" fillId="4" borderId="14" xfId="569" applyNumberFormat="1" applyFont="1" applyFill="1" applyBorder="1" applyAlignment="1">
      <alignment horizontal="center" vertical="center"/>
    </xf>
    <xf numFmtId="1" fontId="43" fillId="4" borderId="15" xfId="569" applyNumberFormat="1" applyFont="1" applyFill="1" applyBorder="1" applyAlignment="1">
      <alignment horizontal="center" vertical="center"/>
    </xf>
    <xf numFmtId="2" fontId="43" fillId="0" borderId="0" xfId="569" applyNumberFormat="1" applyFont="1" applyFill="1" applyBorder="1" applyAlignment="1">
      <alignment horizontal="center" vertical="center"/>
    </xf>
    <xf numFmtId="1" fontId="43" fillId="0" borderId="0" xfId="569" applyNumberFormat="1" applyFont="1" applyFill="1" applyBorder="1" applyAlignment="1">
      <alignment horizontal="center" vertical="top"/>
    </xf>
    <xf numFmtId="0" fontId="36" fillId="0" borderId="0" xfId="569" applyFont="1" applyFill="1" applyBorder="1" applyAlignment="1">
      <alignment horizontal="center"/>
    </xf>
    <xf numFmtId="3" fontId="39" fillId="0" borderId="0" xfId="569" applyNumberFormat="1" applyFont="1" applyBorder="1"/>
    <xf numFmtId="3" fontId="41" fillId="0" borderId="0" xfId="569" applyNumberFormat="1" applyFont="1" applyBorder="1"/>
    <xf numFmtId="0" fontId="82" fillId="0" borderId="0" xfId="569" applyFont="1" applyBorder="1"/>
    <xf numFmtId="0" fontId="81" fillId="0" borderId="0" xfId="569" applyFont="1" applyBorder="1"/>
    <xf numFmtId="0" fontId="6" fillId="0" borderId="0" xfId="569" applyFont="1" applyFill="1" applyBorder="1" applyAlignment="1">
      <alignment horizontal="center"/>
    </xf>
    <xf numFmtId="0" fontId="48" fillId="0" borderId="19" xfId="0" applyFont="1" applyFill="1" applyBorder="1" applyAlignment="1">
      <alignment horizontal="center"/>
    </xf>
    <xf numFmtId="0" fontId="44" fillId="0" borderId="56" xfId="0" applyFont="1" applyFill="1" applyBorder="1"/>
    <xf numFmtId="167" fontId="44" fillId="0" borderId="20" xfId="0" applyNumberFormat="1" applyFont="1" applyFill="1" applyBorder="1" applyAlignment="1">
      <alignment horizontal="right"/>
    </xf>
    <xf numFmtId="3" fontId="44" fillId="0" borderId="21" xfId="0" applyNumberFormat="1" applyFont="1" applyFill="1" applyBorder="1" applyAlignment="1">
      <alignment horizontal="right"/>
    </xf>
    <xf numFmtId="0" fontId="48" fillId="0" borderId="79" xfId="0" applyFont="1" applyFill="1" applyBorder="1" applyAlignment="1">
      <alignment horizontal="center"/>
    </xf>
    <xf numFmtId="0" fontId="44" fillId="0" borderId="80" xfId="0" applyFont="1" applyFill="1" applyBorder="1"/>
    <xf numFmtId="3" fontId="44" fillId="0" borderId="83" xfId="0" applyNumberFormat="1" applyFont="1" applyFill="1" applyBorder="1" applyAlignment="1">
      <alignment horizontal="right"/>
    </xf>
    <xf numFmtId="3" fontId="44" fillId="0" borderId="84" xfId="0" applyNumberFormat="1" applyFont="1" applyFill="1" applyBorder="1" applyAlignment="1">
      <alignment horizontal="right"/>
    </xf>
    <xf numFmtId="3" fontId="44" fillId="0" borderId="24" xfId="0" applyNumberFormat="1" applyFont="1" applyFill="1" applyBorder="1" applyAlignment="1">
      <alignment horizontal="right"/>
    </xf>
    <xf numFmtId="3" fontId="50" fillId="15" borderId="16" xfId="0" applyNumberFormat="1" applyFont="1" applyFill="1" applyBorder="1"/>
    <xf numFmtId="3" fontId="44" fillId="0" borderId="20" xfId="0" applyNumberFormat="1" applyFont="1" applyFill="1" applyBorder="1" applyAlignment="1">
      <alignment horizontal="right"/>
    </xf>
    <xf numFmtId="3" fontId="44" fillId="0" borderId="82" xfId="0" applyNumberFormat="1" applyFont="1" applyFill="1" applyBorder="1" applyAlignment="1">
      <alignment horizontal="right"/>
    </xf>
    <xf numFmtId="3" fontId="49" fillId="7" borderId="85" xfId="0" applyNumberFormat="1" applyFont="1" applyFill="1" applyBorder="1" applyAlignment="1"/>
    <xf numFmtId="3" fontId="52" fillId="10" borderId="86" xfId="0" applyNumberFormat="1" applyFont="1" applyFill="1" applyBorder="1" applyAlignment="1"/>
    <xf numFmtId="3" fontId="50" fillId="7" borderId="86" xfId="0" applyNumberFormat="1" applyFont="1" applyFill="1" applyBorder="1"/>
    <xf numFmtId="3" fontId="50" fillId="15" borderId="87" xfId="0" applyNumberFormat="1" applyFont="1" applyFill="1" applyBorder="1" applyAlignment="1">
      <alignment horizontal="right"/>
    </xf>
    <xf numFmtId="3" fontId="44" fillId="0" borderId="86" xfId="0" applyNumberFormat="1" applyFont="1" applyFill="1" applyBorder="1" applyAlignment="1">
      <alignment horizontal="right"/>
    </xf>
    <xf numFmtId="3" fontId="44" fillId="0" borderId="87" xfId="0" applyNumberFormat="1" applyFont="1" applyFill="1" applyBorder="1" applyAlignment="1">
      <alignment horizontal="right"/>
    </xf>
    <xf numFmtId="3" fontId="52" fillId="10" borderId="86" xfId="0" applyNumberFormat="1" applyFont="1" applyFill="1" applyBorder="1" applyAlignment="1">
      <alignment horizontal="right"/>
    </xf>
    <xf numFmtId="3" fontId="50" fillId="15" borderId="87" xfId="0" applyNumberFormat="1" applyFont="1" applyFill="1" applyBorder="1"/>
    <xf numFmtId="3" fontId="44" fillId="0" borderId="88" xfId="0" applyNumberFormat="1" applyFont="1" applyFill="1" applyBorder="1" applyAlignment="1">
      <alignment horizontal="right"/>
    </xf>
    <xf numFmtId="3" fontId="44" fillId="0" borderId="89" xfId="0" applyNumberFormat="1" applyFont="1" applyFill="1" applyBorder="1" applyAlignment="1">
      <alignment horizontal="right"/>
    </xf>
    <xf numFmtId="49" fontId="29" fillId="0" borderId="0" xfId="0" applyNumberFormat="1" applyFont="1" applyBorder="1" applyAlignment="1">
      <alignment horizontal="center"/>
    </xf>
    <xf numFmtId="3" fontId="29" fillId="0" borderId="0" xfId="0" applyNumberFormat="1" applyFont="1" applyBorder="1" applyAlignment="1">
      <alignment horizontal="right"/>
    </xf>
    <xf numFmtId="0" fontId="29" fillId="0" borderId="0" xfId="0" applyFont="1" applyFill="1" applyBorder="1" applyAlignment="1">
      <alignment horizontal="justify" vertical="top"/>
    </xf>
    <xf numFmtId="3" fontId="27" fillId="0" borderId="0" xfId="0" applyNumberFormat="1" applyFont="1" applyBorder="1" applyAlignment="1">
      <alignment horizontal="right"/>
    </xf>
    <xf numFmtId="0" fontId="87" fillId="0" borderId="16" xfId="569" applyFont="1" applyBorder="1"/>
    <xf numFmtId="0" fontId="87" fillId="0" borderId="17" xfId="569" applyFont="1" applyFill="1" applyBorder="1" applyAlignment="1">
      <alignment vertical="top"/>
    </xf>
    <xf numFmtId="0" fontId="36" fillId="0" borderId="16" xfId="569" applyFont="1" applyBorder="1" applyAlignment="1">
      <alignment horizontal="right"/>
    </xf>
    <xf numFmtId="0" fontId="36" fillId="0" borderId="17" xfId="569" applyFont="1" applyBorder="1" applyAlignment="1">
      <alignment horizontal="right"/>
    </xf>
    <xf numFmtId="0" fontId="87" fillId="0" borderId="17" xfId="569" applyFont="1" applyBorder="1"/>
    <xf numFmtId="0" fontId="84" fillId="0" borderId="17" xfId="569" applyFont="1" applyFill="1" applyBorder="1"/>
    <xf numFmtId="0" fontId="88" fillId="0" borderId="17" xfId="569" applyFont="1" applyFill="1" applyBorder="1"/>
    <xf numFmtId="0" fontId="36" fillId="0" borderId="91" xfId="569" applyFont="1" applyFill="1" applyBorder="1"/>
    <xf numFmtId="0" fontId="36" fillId="0" borderId="84" xfId="569" applyFont="1" applyBorder="1"/>
    <xf numFmtId="0" fontId="43" fillId="7" borderId="92" xfId="569" applyFont="1" applyFill="1" applyBorder="1"/>
    <xf numFmtId="0" fontId="43" fillId="7" borderId="93" xfId="569" applyFont="1" applyFill="1" applyBorder="1" applyAlignment="1">
      <alignment vertical="top"/>
    </xf>
    <xf numFmtId="0" fontId="35" fillId="15" borderId="95" xfId="569" applyFont="1" applyFill="1" applyBorder="1"/>
    <xf numFmtId="0" fontId="84" fillId="0" borderId="95" xfId="569" applyFont="1" applyFill="1" applyBorder="1"/>
    <xf numFmtId="0" fontId="88" fillId="0" borderId="95" xfId="569" applyFont="1" applyFill="1" applyBorder="1"/>
    <xf numFmtId="0" fontId="36" fillId="0" borderId="95" xfId="569" applyFont="1" applyBorder="1"/>
    <xf numFmtId="0" fontId="36" fillId="0" borderId="96" xfId="569" applyFont="1" applyBorder="1"/>
    <xf numFmtId="0" fontId="36" fillId="0" borderId="97" xfId="569" applyFont="1" applyBorder="1"/>
    <xf numFmtId="0" fontId="6" fillId="0" borderId="98" xfId="569" applyFont="1" applyFill="1" applyBorder="1"/>
    <xf numFmtId="0" fontId="36" fillId="0" borderId="95" xfId="569" applyFont="1" applyFill="1" applyBorder="1"/>
    <xf numFmtId="0" fontId="36" fillId="0" borderId="96" xfId="569" applyFont="1" applyFill="1" applyBorder="1"/>
    <xf numFmtId="0" fontId="37" fillId="0" borderId="98" xfId="569" applyFont="1" applyFill="1" applyBorder="1"/>
    <xf numFmtId="0" fontId="36" fillId="0" borderId="99" xfId="569" applyFont="1" applyBorder="1"/>
    <xf numFmtId="0" fontId="36" fillId="0" borderId="98" xfId="569" applyFont="1" applyFill="1" applyBorder="1"/>
    <xf numFmtId="0" fontId="38" fillId="0" borderId="84" xfId="569" applyFont="1" applyFill="1" applyBorder="1"/>
    <xf numFmtId="0" fontId="87" fillId="0" borderId="91" xfId="569" applyFont="1" applyFill="1" applyBorder="1"/>
    <xf numFmtId="0" fontId="87" fillId="0" borderId="84" xfId="569" applyFont="1" applyBorder="1"/>
    <xf numFmtId="0" fontId="43" fillId="7" borderId="93" xfId="569" applyFont="1" applyFill="1" applyBorder="1" applyAlignment="1">
      <alignment horizontal="center"/>
    </xf>
    <xf numFmtId="0" fontId="36" fillId="0" borderId="100" xfId="569" applyFont="1" applyBorder="1"/>
    <xf numFmtId="0" fontId="36" fillId="0" borderId="102" xfId="569" applyFont="1" applyBorder="1"/>
    <xf numFmtId="0" fontId="89" fillId="0" borderId="16" xfId="569" applyFont="1" applyBorder="1"/>
    <xf numFmtId="0" fontId="89" fillId="0" borderId="17" xfId="569" applyFont="1" applyBorder="1"/>
    <xf numFmtId="0" fontId="31" fillId="3" borderId="36" xfId="569" applyFont="1" applyFill="1" applyBorder="1"/>
    <xf numFmtId="49" fontId="44" fillId="0" borderId="55" xfId="0" applyNumberFormat="1" applyFont="1" applyFill="1" applyBorder="1" applyAlignment="1">
      <alignment horizontal="center"/>
    </xf>
    <xf numFmtId="49" fontId="44" fillId="0" borderId="19" xfId="0" applyNumberFormat="1" applyFont="1" applyFill="1" applyBorder="1" applyAlignment="1">
      <alignment horizontal="center"/>
    </xf>
    <xf numFmtId="0" fontId="44" fillId="8" borderId="47" xfId="0" applyFont="1" applyFill="1" applyBorder="1"/>
    <xf numFmtId="0" fontId="44" fillId="8" borderId="80" xfId="0" applyFont="1" applyFill="1" applyBorder="1"/>
    <xf numFmtId="49" fontId="44" fillId="0" borderId="22" xfId="0" applyNumberFormat="1" applyFont="1" applyFill="1" applyBorder="1" applyAlignment="1">
      <alignment horizontal="center"/>
    </xf>
    <xf numFmtId="0" fontId="44" fillId="8" borderId="103" xfId="0" applyFont="1" applyFill="1" applyBorder="1"/>
    <xf numFmtId="0" fontId="44" fillId="8" borderId="45" xfId="0" applyFont="1" applyFill="1" applyBorder="1"/>
    <xf numFmtId="167" fontId="44" fillId="26" borderId="82" xfId="0" applyNumberFormat="1" applyFont="1" applyFill="1" applyBorder="1" applyAlignment="1">
      <alignment horizontal="right"/>
    </xf>
    <xf numFmtId="3" fontId="44" fillId="26" borderId="83" xfId="0" applyNumberFormat="1" applyFont="1" applyFill="1" applyBorder="1" applyAlignment="1">
      <alignment horizontal="right"/>
    </xf>
    <xf numFmtId="3" fontId="44" fillId="26" borderId="82" xfId="0" applyNumberFormat="1" applyFont="1" applyFill="1" applyBorder="1" applyAlignment="1">
      <alignment horizontal="right"/>
    </xf>
    <xf numFmtId="0" fontId="53" fillId="10" borderId="42" xfId="0" applyFont="1" applyFill="1" applyBorder="1" applyAlignment="1">
      <alignment horizontal="center"/>
    </xf>
    <xf numFmtId="0" fontId="50" fillId="27" borderId="104" xfId="0" applyFont="1" applyFill="1" applyBorder="1"/>
    <xf numFmtId="0" fontId="44" fillId="27" borderId="0" xfId="0" applyFont="1" applyFill="1" applyBorder="1" applyAlignment="1"/>
    <xf numFmtId="0" fontId="50" fillId="27" borderId="0" xfId="0" applyFont="1" applyFill="1" applyBorder="1"/>
    <xf numFmtId="0" fontId="50" fillId="27" borderId="50" xfId="0" applyFont="1" applyFill="1" applyBorder="1"/>
    <xf numFmtId="167" fontId="52" fillId="27" borderId="24" xfId="0" applyNumberFormat="1" applyFont="1" applyFill="1" applyBorder="1"/>
    <xf numFmtId="3" fontId="52" fillId="27" borderId="41" xfId="0" applyNumberFormat="1" applyFont="1" applyFill="1" applyBorder="1"/>
    <xf numFmtId="0" fontId="44" fillId="27" borderId="0" xfId="0" applyFont="1" applyFill="1" applyBorder="1"/>
    <xf numFmtId="167" fontId="44" fillId="27" borderId="0" xfId="0" applyNumberFormat="1" applyFont="1" applyFill="1" applyBorder="1" applyAlignment="1">
      <alignment horizontal="right"/>
    </xf>
    <xf numFmtId="3" fontId="44" fillId="27" borderId="41" xfId="0" applyNumberFormat="1" applyFont="1" applyFill="1" applyBorder="1" applyAlignment="1">
      <alignment horizontal="right"/>
    </xf>
    <xf numFmtId="3" fontId="44" fillId="27" borderId="0" xfId="0" applyNumberFormat="1" applyFont="1" applyFill="1" applyBorder="1" applyAlignment="1">
      <alignment horizontal="right"/>
    </xf>
    <xf numFmtId="3" fontId="91" fillId="0" borderId="17" xfId="0" applyNumberFormat="1" applyFont="1" applyFill="1" applyBorder="1" applyAlignment="1">
      <alignment horizontal="right"/>
    </xf>
    <xf numFmtId="0" fontId="0" fillId="27" borderId="50" xfId="0" applyFont="1" applyFill="1" applyBorder="1"/>
    <xf numFmtId="167" fontId="50" fillId="27" borderId="24" xfId="0" applyNumberFormat="1" applyFont="1" applyFill="1" applyBorder="1"/>
    <xf numFmtId="3" fontId="50" fillId="27" borderId="41" xfId="0" applyNumberFormat="1" applyFont="1" applyFill="1" applyBorder="1"/>
    <xf numFmtId="3" fontId="50" fillId="27" borderId="50" xfId="0" applyNumberFormat="1" applyFont="1" applyFill="1" applyBorder="1"/>
    <xf numFmtId="3" fontId="52" fillId="10" borderId="105" xfId="0" applyNumberFormat="1" applyFont="1" applyFill="1" applyBorder="1" applyAlignment="1"/>
    <xf numFmtId="3" fontId="91" fillId="0" borderId="87" xfId="0" applyNumberFormat="1" applyFont="1" applyFill="1" applyBorder="1" applyAlignment="1">
      <alignment horizontal="right"/>
    </xf>
    <xf numFmtId="3" fontId="61" fillId="0" borderId="87" xfId="0" applyNumberFormat="1" applyFont="1" applyFill="1" applyBorder="1" applyAlignment="1">
      <alignment horizontal="right"/>
    </xf>
    <xf numFmtId="3" fontId="50" fillId="27" borderId="86" xfId="0" applyNumberFormat="1" applyFont="1" applyFill="1" applyBorder="1"/>
    <xf numFmtId="3" fontId="44" fillId="0" borderId="87" xfId="0" applyNumberFormat="1" applyFont="1" applyFill="1" applyBorder="1"/>
    <xf numFmtId="3" fontId="61" fillId="8" borderId="87" xfId="0" applyNumberFormat="1" applyFont="1" applyFill="1" applyBorder="1" applyAlignment="1"/>
    <xf numFmtId="3" fontId="44" fillId="8" borderId="87" xfId="0" applyNumberFormat="1" applyFont="1" applyFill="1" applyBorder="1" applyAlignment="1"/>
    <xf numFmtId="3" fontId="50" fillId="27" borderId="24" xfId="0" applyNumberFormat="1" applyFont="1" applyFill="1" applyBorder="1"/>
    <xf numFmtId="3" fontId="50" fillId="15" borderId="17" xfId="0" applyNumberFormat="1" applyFont="1" applyFill="1" applyBorder="1"/>
    <xf numFmtId="3" fontId="50" fillId="27" borderId="0" xfId="0" applyNumberFormat="1" applyFont="1" applyFill="1" applyBorder="1"/>
    <xf numFmtId="3" fontId="61" fillId="8" borderId="17" xfId="0" applyNumberFormat="1" applyFont="1" applyFill="1" applyBorder="1" applyAlignment="1"/>
    <xf numFmtId="3" fontId="44" fillId="8" borderId="17" xfId="0" applyNumberFormat="1" applyFont="1" applyFill="1" applyBorder="1" applyAlignment="1"/>
    <xf numFmtId="49" fontId="44" fillId="0" borderId="79" xfId="0" applyNumberFormat="1" applyFont="1" applyFill="1" applyBorder="1" applyAlignment="1">
      <alignment horizontal="center"/>
    </xf>
    <xf numFmtId="49" fontId="44" fillId="0" borderId="106" xfId="0" applyNumberFormat="1" applyFont="1" applyFill="1" applyBorder="1" applyAlignment="1">
      <alignment horizontal="center"/>
    </xf>
    <xf numFmtId="3" fontId="44" fillId="0" borderId="107" xfId="0" applyNumberFormat="1" applyFont="1" applyFill="1" applyBorder="1" applyAlignment="1">
      <alignment horizontal="right"/>
    </xf>
    <xf numFmtId="3" fontId="44" fillId="0" borderId="108" xfId="0" applyNumberFormat="1" applyFont="1" applyFill="1" applyBorder="1" applyAlignment="1">
      <alignment horizontal="right"/>
    </xf>
    <xf numFmtId="49" fontId="44" fillId="0" borderId="109" xfId="0" applyNumberFormat="1" applyFont="1" applyFill="1" applyBorder="1" applyAlignment="1">
      <alignment horizontal="center"/>
    </xf>
    <xf numFmtId="167" fontId="44" fillId="0" borderId="107" xfId="0" applyNumberFormat="1" applyFont="1" applyFill="1" applyBorder="1" applyAlignment="1">
      <alignment horizontal="right"/>
    </xf>
    <xf numFmtId="0" fontId="44" fillId="8" borderId="91" xfId="0" applyFont="1" applyFill="1" applyBorder="1"/>
    <xf numFmtId="0" fontId="44" fillId="8" borderId="110" xfId="0" applyFont="1" applyFill="1" applyBorder="1"/>
    <xf numFmtId="49" fontId="44" fillId="0" borderId="56" xfId="0" applyNumberFormat="1" applyFont="1" applyFill="1" applyBorder="1" applyAlignment="1">
      <alignment horizontal="center"/>
    </xf>
    <xf numFmtId="49" fontId="44" fillId="0" borderId="0" xfId="0" applyNumberFormat="1" applyFont="1" applyFill="1" applyBorder="1" applyAlignment="1">
      <alignment horizontal="right"/>
    </xf>
    <xf numFmtId="167" fontId="50" fillId="15" borderId="17" xfId="0" applyNumberFormat="1" applyFont="1" applyFill="1" applyBorder="1"/>
    <xf numFmtId="167" fontId="52" fillId="10" borderId="0" xfId="0" applyNumberFormat="1" applyFont="1" applyFill="1" applyBorder="1" applyAlignment="1"/>
    <xf numFmtId="167" fontId="46" fillId="0" borderId="0" xfId="0" applyNumberFormat="1" applyFont="1" applyFill="1" applyBorder="1" applyAlignment="1">
      <alignment horizontal="right"/>
    </xf>
    <xf numFmtId="167" fontId="64" fillId="0" borderId="17" xfId="0" applyNumberFormat="1" applyFont="1" applyFill="1" applyBorder="1" applyAlignment="1">
      <alignment horizontal="right"/>
    </xf>
    <xf numFmtId="167" fontId="50" fillId="0" borderId="17" xfId="0" applyNumberFormat="1" applyFont="1" applyFill="1" applyBorder="1"/>
    <xf numFmtId="167" fontId="91" fillId="0" borderId="17" xfId="0" applyNumberFormat="1" applyFont="1" applyFill="1" applyBorder="1" applyAlignment="1">
      <alignment horizontal="right"/>
    </xf>
    <xf numFmtId="0" fontId="0" fillId="8" borderId="21" xfId="0" applyFont="1" applyFill="1" applyBorder="1"/>
    <xf numFmtId="0" fontId="44" fillId="8" borderId="111" xfId="0" applyFont="1" applyFill="1" applyBorder="1"/>
    <xf numFmtId="0" fontId="44" fillId="8" borderId="112" xfId="0" applyFont="1" applyFill="1" applyBorder="1"/>
    <xf numFmtId="49" fontId="44" fillId="0" borderId="103" xfId="0" applyNumberFormat="1" applyFont="1" applyFill="1" applyBorder="1" applyAlignment="1">
      <alignment horizontal="center"/>
    </xf>
    <xf numFmtId="0" fontId="61" fillId="8" borderId="64" xfId="0" applyFont="1" applyFill="1" applyBorder="1"/>
    <xf numFmtId="0" fontId="44" fillId="8" borderId="22" xfId="0" applyFont="1" applyFill="1" applyBorder="1" applyAlignment="1">
      <alignment horizontal="center"/>
    </xf>
    <xf numFmtId="0" fontId="65" fillId="8" borderId="113" xfId="0" applyFont="1" applyFill="1" applyBorder="1"/>
    <xf numFmtId="49" fontId="52" fillId="15" borderId="91" xfId="0" applyNumberFormat="1" applyFont="1" applyFill="1" applyBorder="1" applyAlignment="1">
      <alignment horizontal="left"/>
    </xf>
    <xf numFmtId="0" fontId="52" fillId="15" borderId="84" xfId="0" applyFont="1" applyFill="1" applyBorder="1"/>
    <xf numFmtId="0" fontId="52" fillId="15" borderId="110" xfId="0" applyFont="1" applyFill="1" applyBorder="1"/>
    <xf numFmtId="0" fontId="53" fillId="10" borderId="91" xfId="0" applyFont="1" applyFill="1" applyBorder="1" applyAlignment="1"/>
    <xf numFmtId="0" fontId="44" fillId="10" borderId="84" xfId="0" applyFont="1" applyFill="1" applyBorder="1" applyAlignment="1"/>
    <xf numFmtId="0" fontId="44" fillId="10" borderId="110" xfId="0" applyFont="1" applyFill="1" applyBorder="1" applyAlignment="1"/>
    <xf numFmtId="0" fontId="44" fillId="0" borderId="91" xfId="0" applyFont="1" applyFill="1" applyBorder="1"/>
    <xf numFmtId="0" fontId="46" fillId="0" borderId="110" xfId="0" applyFont="1" applyFill="1" applyBorder="1"/>
    <xf numFmtId="0" fontId="61" fillId="8" borderId="91" xfId="0" applyFont="1" applyFill="1" applyBorder="1"/>
    <xf numFmtId="0" fontId="64" fillId="8" borderId="110" xfId="0" applyFont="1" applyFill="1" applyBorder="1"/>
    <xf numFmtId="0" fontId="61" fillId="8" borderId="80" xfId="0" applyFont="1" applyFill="1" applyBorder="1"/>
    <xf numFmtId="0" fontId="91" fillId="8" borderId="110" xfId="0" applyFont="1" applyFill="1" applyBorder="1"/>
    <xf numFmtId="167" fontId="50" fillId="7" borderId="0" xfId="0" applyNumberFormat="1" applyFont="1" applyFill="1" applyBorder="1"/>
    <xf numFmtId="167" fontId="50" fillId="27" borderId="0" xfId="0" applyNumberFormat="1" applyFont="1" applyFill="1" applyBorder="1"/>
    <xf numFmtId="0" fontId="64" fillId="8" borderId="114" xfId="0" applyFont="1" applyFill="1" applyBorder="1"/>
    <xf numFmtId="0" fontId="0" fillId="27" borderId="0" xfId="0" applyFont="1" applyFill="1" applyBorder="1"/>
    <xf numFmtId="0" fontId="53" fillId="10" borderId="115" xfId="0" applyFont="1" applyFill="1" applyBorder="1" applyAlignment="1"/>
    <xf numFmtId="167" fontId="52" fillId="10" borderId="116" xfId="0" applyNumberFormat="1" applyFont="1" applyFill="1" applyBorder="1" applyAlignment="1"/>
    <xf numFmtId="3" fontId="52" fillId="10" borderId="116" xfId="0" applyNumberFormat="1" applyFont="1" applyFill="1" applyBorder="1" applyAlignment="1"/>
    <xf numFmtId="0" fontId="56" fillId="0" borderId="99" xfId="0" applyFont="1" applyBorder="1"/>
    <xf numFmtId="3" fontId="52" fillId="10" borderId="117" xfId="0" applyNumberFormat="1" applyFont="1" applyFill="1" applyBorder="1" applyAlignment="1"/>
    <xf numFmtId="3" fontId="52" fillId="10" borderId="118" xfId="0" applyNumberFormat="1" applyFont="1" applyFill="1" applyBorder="1" applyAlignment="1"/>
    <xf numFmtId="0" fontId="61" fillId="8" borderId="109" xfId="0" applyFont="1" applyFill="1" applyBorder="1"/>
    <xf numFmtId="0" fontId="44" fillId="0" borderId="109" xfId="0" applyFont="1" applyFill="1" applyBorder="1"/>
    <xf numFmtId="0" fontId="44" fillId="0" borderId="114" xfId="0" applyFont="1" applyFill="1" applyBorder="1"/>
    <xf numFmtId="0" fontId="44" fillId="10" borderId="119" xfId="0" applyFont="1" applyFill="1" applyBorder="1" applyAlignment="1"/>
    <xf numFmtId="0" fontId="44" fillId="10" borderId="120" xfId="0" applyFont="1" applyFill="1" applyBorder="1" applyAlignment="1"/>
    <xf numFmtId="0" fontId="44" fillId="0" borderId="107" xfId="0" applyFont="1" applyFill="1" applyBorder="1"/>
    <xf numFmtId="0" fontId="52" fillId="0" borderId="114" xfId="0" applyFont="1" applyFill="1" applyBorder="1"/>
    <xf numFmtId="0" fontId="53" fillId="8" borderId="121" xfId="0" applyFont="1" applyFill="1" applyBorder="1" applyAlignment="1"/>
    <xf numFmtId="0" fontId="50" fillId="7" borderId="122" xfId="0" applyFont="1" applyFill="1" applyBorder="1"/>
    <xf numFmtId="0" fontId="44" fillId="7" borderId="117" xfId="0" applyFont="1" applyFill="1" applyBorder="1" applyAlignment="1"/>
    <xf numFmtId="0" fontId="50" fillId="7" borderId="117" xfId="0" applyFont="1" applyFill="1" applyBorder="1"/>
    <xf numFmtId="0" fontId="50" fillId="7" borderId="123" xfId="0" applyFont="1" applyFill="1" applyBorder="1"/>
    <xf numFmtId="167" fontId="52" fillId="7" borderId="124" xfId="0" applyNumberFormat="1" applyFont="1" applyFill="1" applyBorder="1"/>
    <xf numFmtId="3" fontId="52" fillId="7" borderId="125" xfId="0" applyNumberFormat="1" applyFont="1" applyFill="1" applyBorder="1"/>
    <xf numFmtId="0" fontId="51" fillId="10" borderId="126" xfId="0" applyFont="1" applyFill="1" applyBorder="1" applyAlignment="1">
      <alignment horizontal="center"/>
    </xf>
    <xf numFmtId="0" fontId="51" fillId="10" borderId="127" xfId="0" applyFont="1" applyFill="1" applyBorder="1" applyAlignment="1">
      <alignment horizontal="center"/>
    </xf>
    <xf numFmtId="3" fontId="50" fillId="7" borderId="128" xfId="0" applyNumberFormat="1" applyFont="1" applyFill="1" applyBorder="1"/>
    <xf numFmtId="3" fontId="50" fillId="7" borderId="129" xfId="0" applyNumberFormat="1" applyFont="1" applyFill="1" applyBorder="1"/>
    <xf numFmtId="167" fontId="50" fillId="27" borderId="24" xfId="0" applyNumberFormat="1" applyFont="1" applyFill="1" applyBorder="1" applyAlignment="1">
      <alignment horizontal="right"/>
    </xf>
    <xf numFmtId="3" fontId="50" fillId="27" borderId="41" xfId="0" applyNumberFormat="1" applyFont="1" applyFill="1" applyBorder="1" applyAlignment="1">
      <alignment horizontal="right"/>
    </xf>
    <xf numFmtId="3" fontId="50" fillId="27" borderId="0" xfId="0" applyNumberFormat="1" applyFont="1" applyFill="1" applyBorder="1" applyAlignment="1">
      <alignment horizontal="right"/>
    </xf>
    <xf numFmtId="0" fontId="44" fillId="27" borderId="50" xfId="0" applyFont="1" applyFill="1" applyBorder="1"/>
    <xf numFmtId="3" fontId="50" fillId="27" borderId="50" xfId="0" applyNumberFormat="1" applyFont="1" applyFill="1" applyBorder="1" applyAlignment="1">
      <alignment horizontal="right"/>
    </xf>
    <xf numFmtId="49" fontId="54" fillId="0" borderId="0" xfId="0" applyNumberFormat="1" applyFont="1" applyFill="1" applyBorder="1" applyAlignment="1">
      <alignment horizontal="center"/>
    </xf>
    <xf numFmtId="0" fontId="44" fillId="0" borderId="130" xfId="0" applyFont="1" applyFill="1" applyBorder="1" applyAlignment="1">
      <alignment horizontal="center"/>
    </xf>
    <xf numFmtId="0" fontId="44" fillId="0" borderId="131" xfId="0" applyFont="1" applyFill="1" applyBorder="1" applyAlignment="1">
      <alignment horizontal="center"/>
    </xf>
    <xf numFmtId="0" fontId="44" fillId="0" borderId="117" xfId="0" applyFont="1" applyFill="1" applyBorder="1"/>
    <xf numFmtId="0" fontId="44" fillId="0" borderId="123" xfId="0" applyFont="1" applyFill="1" applyBorder="1"/>
    <xf numFmtId="167" fontId="44" fillId="0" borderId="124" xfId="0" applyNumberFormat="1" applyFont="1" applyFill="1" applyBorder="1" applyAlignment="1">
      <alignment horizontal="right"/>
    </xf>
    <xf numFmtId="3" fontId="44" fillId="0" borderId="125" xfId="0" applyNumberFormat="1" applyFont="1" applyFill="1" applyBorder="1" applyAlignment="1">
      <alignment horizontal="right"/>
    </xf>
    <xf numFmtId="3" fontId="44" fillId="0" borderId="123" xfId="0" applyNumberFormat="1" applyFont="1" applyFill="1" applyBorder="1" applyAlignment="1">
      <alignment horizontal="right"/>
    </xf>
    <xf numFmtId="0" fontId="50" fillId="28" borderId="0" xfId="0" applyFont="1" applyFill="1" applyBorder="1"/>
    <xf numFmtId="0" fontId="44" fillId="28" borderId="0" xfId="0" applyFont="1" applyFill="1" applyBorder="1"/>
    <xf numFmtId="0" fontId="0" fillId="28" borderId="50" xfId="0" applyFont="1" applyFill="1" applyBorder="1"/>
    <xf numFmtId="167" fontId="50" fillId="28" borderId="24" xfId="0" applyNumberFormat="1" applyFont="1" applyFill="1" applyBorder="1"/>
    <xf numFmtId="3" fontId="50" fillId="28" borderId="41" xfId="0" applyNumberFormat="1" applyFont="1" applyFill="1" applyBorder="1"/>
    <xf numFmtId="0" fontId="50" fillId="29" borderId="132" xfId="0" applyFont="1" applyFill="1" applyBorder="1"/>
    <xf numFmtId="0" fontId="44" fillId="29" borderId="133" xfId="0" applyFont="1" applyFill="1" applyBorder="1" applyAlignment="1"/>
    <xf numFmtId="0" fontId="50" fillId="29" borderId="133" xfId="0" applyFont="1" applyFill="1" applyBorder="1"/>
    <xf numFmtId="0" fontId="50" fillId="29" borderId="134" xfId="0" applyFont="1" applyFill="1" applyBorder="1"/>
    <xf numFmtId="167" fontId="51" fillId="29" borderId="135" xfId="0" applyNumberFormat="1" applyFont="1" applyFill="1" applyBorder="1" applyAlignment="1"/>
    <xf numFmtId="3" fontId="52" fillId="29" borderId="41" xfId="0" applyNumberFormat="1" applyFont="1" applyFill="1" applyBorder="1" applyAlignment="1"/>
    <xf numFmtId="3" fontId="52" fillId="29" borderId="136" xfId="0" applyNumberFormat="1" applyFont="1" applyFill="1" applyBorder="1" applyAlignment="1"/>
    <xf numFmtId="0" fontId="50" fillId="29" borderId="50" xfId="0" applyFont="1" applyFill="1" applyBorder="1"/>
    <xf numFmtId="0" fontId="44" fillId="29" borderId="0" xfId="0" applyFont="1" applyFill="1" applyBorder="1"/>
    <xf numFmtId="0" fontId="0" fillId="29" borderId="50" xfId="0" applyFont="1" applyFill="1" applyBorder="1"/>
    <xf numFmtId="167" fontId="50" fillId="29" borderId="24" xfId="0" applyNumberFormat="1" applyFont="1" applyFill="1" applyBorder="1"/>
    <xf numFmtId="3" fontId="50" fillId="29" borderId="41" xfId="0" applyNumberFormat="1" applyFont="1" applyFill="1" applyBorder="1"/>
    <xf numFmtId="3" fontId="44" fillId="0" borderId="127" xfId="0" applyNumberFormat="1" applyFont="1" applyFill="1" applyBorder="1" applyAlignment="1">
      <alignment horizontal="right"/>
    </xf>
    <xf numFmtId="49" fontId="44" fillId="0" borderId="137" xfId="0" applyNumberFormat="1" applyFont="1" applyFill="1" applyBorder="1" applyAlignment="1">
      <alignment horizontal="center"/>
    </xf>
    <xf numFmtId="3" fontId="44" fillId="0" borderId="54" xfId="0" applyNumberFormat="1" applyFont="1" applyBorder="1"/>
    <xf numFmtId="3" fontId="36" fillId="0" borderId="52" xfId="569" applyNumberFormat="1" applyFont="1" applyBorder="1" applyAlignment="1">
      <alignment horizontal="right"/>
    </xf>
    <xf numFmtId="3" fontId="36" fillId="0" borderId="52" xfId="569" applyNumberFormat="1" applyFont="1" applyFill="1" applyBorder="1" applyAlignment="1">
      <alignment horizontal="right"/>
    </xf>
    <xf numFmtId="0" fontId="36" fillId="3" borderId="0" xfId="569" applyFont="1" applyFill="1" applyBorder="1"/>
    <xf numFmtId="0" fontId="36" fillId="31" borderId="0" xfId="569" applyFont="1" applyFill="1" applyBorder="1"/>
    <xf numFmtId="0" fontId="37" fillId="31" borderId="0" xfId="569" applyFont="1" applyFill="1" applyBorder="1"/>
    <xf numFmtId="2" fontId="36" fillId="3" borderId="0" xfId="569" applyNumberFormat="1" applyFont="1" applyFill="1" applyBorder="1" applyAlignment="1">
      <alignment horizontal="center"/>
    </xf>
    <xf numFmtId="0" fontId="6" fillId="3" borderId="0" xfId="569" applyFont="1" applyFill="1" applyBorder="1"/>
    <xf numFmtId="3" fontId="36" fillId="0" borderId="138" xfId="569" applyNumberFormat="1" applyFont="1" applyFill="1" applyBorder="1"/>
    <xf numFmtId="3" fontId="36" fillId="0" borderId="138" xfId="569" applyNumberFormat="1" applyFont="1" applyFill="1" applyBorder="1" applyAlignment="1">
      <alignment horizontal="right"/>
    </xf>
    <xf numFmtId="3" fontId="37" fillId="0" borderId="138" xfId="569" applyNumberFormat="1" applyFont="1" applyFill="1" applyBorder="1"/>
    <xf numFmtId="3" fontId="36" fillId="0" borderId="107" xfId="569" applyNumberFormat="1" applyFont="1" applyFill="1" applyBorder="1"/>
    <xf numFmtId="3" fontId="36" fillId="0" borderId="107" xfId="569" applyNumberFormat="1" applyFont="1" applyFill="1" applyBorder="1" applyAlignment="1">
      <alignment horizontal="right"/>
    </xf>
    <xf numFmtId="3" fontId="37" fillId="0" borderId="107" xfId="569" applyNumberFormat="1" applyFont="1" applyFill="1" applyBorder="1"/>
    <xf numFmtId="0" fontId="36" fillId="0" borderId="140" xfId="569" applyFont="1" applyFill="1" applyBorder="1"/>
    <xf numFmtId="4" fontId="37" fillId="0" borderId="141" xfId="569" applyNumberFormat="1" applyFont="1" applyBorder="1"/>
    <xf numFmtId="0" fontId="43" fillId="0" borderId="13" xfId="569" applyFont="1" applyFill="1" applyBorder="1"/>
    <xf numFmtId="0" fontId="43" fillId="0" borderId="28" xfId="569" applyFont="1" applyFill="1" applyBorder="1" applyAlignment="1">
      <alignment vertical="top"/>
    </xf>
    <xf numFmtId="0" fontId="43" fillId="0" borderId="92" xfId="569" applyFont="1" applyFill="1" applyBorder="1"/>
    <xf numFmtId="0" fontId="43" fillId="0" borderId="93" xfId="569" applyFont="1" applyFill="1" applyBorder="1" applyAlignment="1">
      <alignment vertical="top"/>
    </xf>
    <xf numFmtId="4" fontId="37" fillId="0" borderId="141" xfId="569" applyNumberFormat="1" applyFont="1" applyFill="1" applyBorder="1"/>
    <xf numFmtId="0" fontId="48" fillId="9" borderId="13" xfId="0" applyFont="1" applyFill="1" applyBorder="1" applyAlignment="1">
      <alignment horizontal="center"/>
    </xf>
    <xf numFmtId="3" fontId="49" fillId="7" borderId="49" xfId="0" applyNumberFormat="1" applyFont="1" applyFill="1" applyBorder="1" applyAlignment="1"/>
    <xf numFmtId="3" fontId="52" fillId="29" borderId="50" xfId="0" applyNumberFormat="1" applyFont="1" applyFill="1" applyBorder="1" applyAlignment="1"/>
    <xf numFmtId="3" fontId="50" fillId="3" borderId="50" xfId="0" applyNumberFormat="1" applyFont="1" applyFill="1" applyBorder="1" applyAlignment="1">
      <alignment horizontal="right"/>
    </xf>
    <xf numFmtId="3" fontId="50" fillId="28" borderId="50" xfId="0" applyNumberFormat="1" applyFont="1" applyFill="1" applyBorder="1"/>
    <xf numFmtId="3" fontId="52" fillId="3" borderId="50" xfId="0" applyNumberFormat="1" applyFont="1" applyFill="1" applyBorder="1" applyAlignment="1">
      <alignment horizontal="right"/>
    </xf>
    <xf numFmtId="3" fontId="44" fillId="0" borderId="53" xfId="0" applyNumberFormat="1" applyFont="1" applyFill="1" applyBorder="1"/>
    <xf numFmtId="3" fontId="50" fillId="15" borderId="53" xfId="0" applyNumberFormat="1" applyFont="1" applyFill="1" applyBorder="1"/>
    <xf numFmtId="3" fontId="44" fillId="0" borderId="50" xfId="0" applyNumberFormat="1" applyFont="1" applyFill="1" applyBorder="1"/>
    <xf numFmtId="3" fontId="50" fillId="29" borderId="50" xfId="0" applyNumberFormat="1" applyFont="1" applyFill="1" applyBorder="1"/>
    <xf numFmtId="3" fontId="50" fillId="15" borderId="53" xfId="0" applyNumberFormat="1" applyFont="1" applyFill="1" applyBorder="1" applyAlignment="1"/>
    <xf numFmtId="3" fontId="44" fillId="0" borderId="50" xfId="0" applyNumberFormat="1" applyFont="1" applyFill="1" applyBorder="1" applyAlignment="1"/>
    <xf numFmtId="3" fontId="44" fillId="0" borderId="53" xfId="0" applyNumberFormat="1" applyFont="1" applyFill="1" applyBorder="1" applyAlignment="1"/>
    <xf numFmtId="3" fontId="48" fillId="0" borderId="60" xfId="0" applyNumberFormat="1" applyFont="1" applyFill="1" applyBorder="1" applyAlignment="1"/>
    <xf numFmtId="0" fontId="44" fillId="0" borderId="86" xfId="0" applyFont="1" applyBorder="1"/>
    <xf numFmtId="0" fontId="44" fillId="0" borderId="87" xfId="0" applyFont="1" applyBorder="1"/>
    <xf numFmtId="3" fontId="52" fillId="27" borderId="50" xfId="0" applyNumberFormat="1" applyFont="1" applyFill="1" applyBorder="1"/>
    <xf numFmtId="3" fontId="44" fillId="0" borderId="90" xfId="0" applyNumberFormat="1" applyFont="1" applyFill="1" applyBorder="1" applyAlignment="1">
      <alignment horizontal="right"/>
    </xf>
    <xf numFmtId="3" fontId="50" fillId="7" borderId="50" xfId="0" applyNumberFormat="1" applyFont="1" applyFill="1" applyBorder="1" applyAlignment="1">
      <alignment horizontal="right"/>
    </xf>
    <xf numFmtId="1" fontId="44" fillId="0" borderId="53" xfId="0" applyNumberFormat="1" applyFont="1" applyBorder="1"/>
    <xf numFmtId="167" fontId="0" fillId="9" borderId="0" xfId="0" applyNumberFormat="1" applyFont="1" applyFill="1" applyBorder="1" applyAlignment="1">
      <alignment horizontal="center"/>
    </xf>
    <xf numFmtId="1" fontId="0" fillId="9" borderId="21" xfId="0" applyNumberFormat="1" applyFont="1" applyFill="1" applyBorder="1" applyAlignment="1">
      <alignment horizontal="center" vertical="center"/>
    </xf>
    <xf numFmtId="3" fontId="44" fillId="0" borderId="21" xfId="0" applyNumberFormat="1" applyFont="1" applyFill="1" applyBorder="1"/>
    <xf numFmtId="3" fontId="52" fillId="7" borderId="123" xfId="0" applyNumberFormat="1" applyFont="1" applyFill="1" applyBorder="1"/>
    <xf numFmtId="167" fontId="0" fillId="9" borderId="86" xfId="0" applyNumberFormat="1" applyFont="1" applyFill="1" applyBorder="1" applyAlignment="1">
      <alignment horizontal="center"/>
    </xf>
    <xf numFmtId="1" fontId="0" fillId="9" borderId="88" xfId="0" applyNumberFormat="1" applyFont="1" applyFill="1" applyBorder="1" applyAlignment="1">
      <alignment horizontal="center" vertical="center"/>
    </xf>
    <xf numFmtId="3" fontId="52" fillId="10" borderId="89" xfId="0" applyNumberFormat="1" applyFont="1" applyFill="1" applyBorder="1" applyAlignment="1"/>
    <xf numFmtId="3" fontId="52" fillId="10" borderId="142" xfId="0" applyNumberFormat="1" applyFont="1" applyFill="1" applyBorder="1" applyAlignment="1"/>
    <xf numFmtId="3" fontId="50" fillId="7" borderId="143" xfId="0" applyNumberFormat="1" applyFont="1" applyFill="1" applyBorder="1"/>
    <xf numFmtId="3" fontId="50" fillId="15" borderId="144" xfId="0" applyNumberFormat="1" applyFont="1" applyFill="1" applyBorder="1"/>
    <xf numFmtId="3" fontId="44" fillId="0" borderId="144" xfId="0" applyNumberFormat="1" applyFont="1" applyFill="1" applyBorder="1" applyAlignment="1">
      <alignment horizontal="right"/>
    </xf>
    <xf numFmtId="3" fontId="91" fillId="0" borderId="144" xfId="0" applyNumberFormat="1" applyFont="1" applyFill="1" applyBorder="1" applyAlignment="1">
      <alignment horizontal="right"/>
    </xf>
    <xf numFmtId="3" fontId="61" fillId="0" borderId="144" xfId="0" applyNumberFormat="1" applyFont="1" applyFill="1" applyBorder="1" applyAlignment="1">
      <alignment horizontal="right"/>
    </xf>
    <xf numFmtId="3" fontId="50" fillId="27" borderId="145" xfId="0" applyNumberFormat="1" applyFont="1" applyFill="1" applyBorder="1"/>
    <xf numFmtId="3" fontId="44" fillId="0" borderId="144" xfId="0" applyNumberFormat="1" applyFont="1" applyFill="1" applyBorder="1"/>
    <xf numFmtId="3" fontId="52" fillId="10" borderId="145" xfId="0" applyNumberFormat="1" applyFont="1" applyFill="1" applyBorder="1" applyAlignment="1"/>
    <xf numFmtId="3" fontId="50" fillId="7" borderId="145" xfId="0" applyNumberFormat="1" applyFont="1" applyFill="1" applyBorder="1"/>
    <xf numFmtId="3" fontId="44" fillId="0" borderId="145" xfId="0" applyNumberFormat="1" applyFont="1" applyFill="1" applyBorder="1" applyAlignment="1">
      <alignment horizontal="right"/>
    </xf>
    <xf numFmtId="3" fontId="52" fillId="10" borderId="146" xfId="0" applyNumberFormat="1" applyFont="1" applyFill="1" applyBorder="1" applyAlignment="1"/>
    <xf numFmtId="3" fontId="44" fillId="0" borderId="148" xfId="0" applyNumberFormat="1" applyFont="1" applyFill="1" applyBorder="1" applyAlignment="1">
      <alignment horizontal="right"/>
    </xf>
    <xf numFmtId="3" fontId="55" fillId="7" borderId="45" xfId="0" applyNumberFormat="1" applyFont="1" applyFill="1" applyBorder="1"/>
    <xf numFmtId="167" fontId="44" fillId="32" borderId="24" xfId="0" applyNumberFormat="1" applyFont="1" applyFill="1" applyBorder="1" applyAlignment="1">
      <alignment horizontal="right"/>
    </xf>
    <xf numFmtId="3" fontId="44" fillId="32" borderId="41" xfId="0" applyNumberFormat="1" applyFont="1" applyFill="1" applyBorder="1" applyAlignment="1">
      <alignment horizontal="right"/>
    </xf>
    <xf numFmtId="3" fontId="44" fillId="32" borderId="24" xfId="0" applyNumberFormat="1" applyFont="1" applyFill="1" applyBorder="1" applyAlignment="1">
      <alignment horizontal="right"/>
    </xf>
    <xf numFmtId="167" fontId="44" fillId="26" borderId="16" xfId="0" applyNumberFormat="1" applyFont="1" applyFill="1" applyBorder="1" applyAlignment="1">
      <alignment horizontal="right"/>
    </xf>
    <xf numFmtId="3" fontId="44" fillId="15" borderId="16" xfId="0" applyNumberFormat="1" applyFont="1" applyFill="1" applyBorder="1" applyAlignment="1">
      <alignment horizontal="right"/>
    </xf>
    <xf numFmtId="0" fontId="50" fillId="27" borderId="149" xfId="0" applyFont="1" applyFill="1" applyBorder="1"/>
    <xf numFmtId="0" fontId="44" fillId="27" borderId="84" xfId="0" applyFont="1" applyFill="1" applyBorder="1" applyAlignment="1"/>
    <xf numFmtId="0" fontId="50" fillId="27" borderId="84" xfId="0" applyFont="1" applyFill="1" applyBorder="1"/>
    <xf numFmtId="0" fontId="50" fillId="27" borderId="81" xfId="0" applyFont="1" applyFill="1" applyBorder="1"/>
    <xf numFmtId="167" fontId="52" fillId="27" borderId="82" xfId="0" applyNumberFormat="1" applyFont="1" applyFill="1" applyBorder="1"/>
    <xf numFmtId="3" fontId="52" fillId="27" borderId="81" xfId="0" applyNumberFormat="1" applyFont="1" applyFill="1" applyBorder="1"/>
    <xf numFmtId="3" fontId="52" fillId="27" borderId="83" xfId="0" applyNumberFormat="1" applyFont="1" applyFill="1" applyBorder="1"/>
    <xf numFmtId="3" fontId="52" fillId="27" borderId="84" xfId="0" applyNumberFormat="1" applyFont="1" applyFill="1" applyBorder="1"/>
    <xf numFmtId="3" fontId="52" fillId="7" borderId="117" xfId="0" applyNumberFormat="1" applyFont="1" applyFill="1" applyBorder="1"/>
    <xf numFmtId="3" fontId="52" fillId="7" borderId="124" xfId="0" applyNumberFormat="1" applyFont="1" applyFill="1" applyBorder="1"/>
    <xf numFmtId="3" fontId="52" fillId="7" borderId="118" xfId="0" applyNumberFormat="1" applyFont="1" applyFill="1" applyBorder="1"/>
    <xf numFmtId="0" fontId="52" fillId="15" borderId="56" xfId="0" applyFont="1" applyFill="1" applyBorder="1"/>
    <xf numFmtId="0" fontId="52" fillId="15" borderId="21" xfId="0" applyFont="1" applyFill="1" applyBorder="1"/>
    <xf numFmtId="0" fontId="50" fillId="26" borderId="107" xfId="0" applyFont="1" applyFill="1" applyBorder="1"/>
    <xf numFmtId="3" fontId="44" fillId="26" borderId="150" xfId="0" applyNumberFormat="1" applyFont="1" applyFill="1" applyBorder="1" applyAlignment="1">
      <alignment horizontal="right"/>
    </xf>
    <xf numFmtId="3" fontId="44" fillId="26" borderId="107" xfId="0" applyNumberFormat="1" applyFont="1" applyFill="1" applyBorder="1" applyAlignment="1">
      <alignment horizontal="right"/>
    </xf>
    <xf numFmtId="3" fontId="44" fillId="26" borderId="151" xfId="0" applyNumberFormat="1" applyFont="1" applyFill="1" applyBorder="1" applyAlignment="1">
      <alignment horizontal="right"/>
    </xf>
    <xf numFmtId="3" fontId="52" fillId="27" borderId="89" xfId="0" applyNumberFormat="1" applyFont="1" applyFill="1" applyBorder="1"/>
    <xf numFmtId="167" fontId="51" fillId="7" borderId="124" xfId="0" applyNumberFormat="1" applyFont="1" applyFill="1" applyBorder="1" applyAlignment="1"/>
    <xf numFmtId="3" fontId="52" fillId="7" borderId="123" xfId="0" applyNumberFormat="1" applyFont="1" applyFill="1" applyBorder="1" applyAlignment="1"/>
    <xf numFmtId="3" fontId="52" fillId="7" borderId="125" xfId="0" applyNumberFormat="1" applyFont="1" applyFill="1" applyBorder="1" applyAlignment="1"/>
    <xf numFmtId="0" fontId="50" fillId="28" borderId="149" xfId="0" applyFont="1" applyFill="1" applyBorder="1"/>
    <xf numFmtId="0" fontId="44" fillId="28" borderId="84" xfId="0" applyFont="1" applyFill="1" applyBorder="1" applyAlignment="1"/>
    <xf numFmtId="0" fontId="50" fillId="28" borderId="84" xfId="0" applyFont="1" applyFill="1" applyBorder="1"/>
    <xf numFmtId="0" fontId="50" fillId="28" borderId="81" xfId="0" applyFont="1" applyFill="1" applyBorder="1"/>
    <xf numFmtId="167" fontId="51" fillId="28" borderId="82" xfId="0" applyNumberFormat="1" applyFont="1" applyFill="1" applyBorder="1" applyAlignment="1"/>
    <xf numFmtId="3" fontId="52" fillId="28" borderId="81" xfId="0" applyNumberFormat="1" applyFont="1" applyFill="1" applyBorder="1" applyAlignment="1"/>
    <xf numFmtId="3" fontId="52" fillId="28" borderId="83" xfId="0" applyNumberFormat="1" applyFont="1" applyFill="1" applyBorder="1" applyAlignment="1"/>
    <xf numFmtId="167" fontId="52" fillId="29" borderId="135" xfId="0" applyNumberFormat="1" applyFont="1" applyFill="1" applyBorder="1"/>
    <xf numFmtId="3" fontId="52" fillId="29" borderId="133" xfId="0" applyNumberFormat="1" applyFont="1" applyFill="1" applyBorder="1"/>
    <xf numFmtId="3" fontId="52" fillId="29" borderId="153" xfId="0" applyNumberFormat="1" applyFont="1" applyFill="1" applyBorder="1"/>
    <xf numFmtId="3" fontId="52" fillId="29" borderId="134" xfId="0" applyNumberFormat="1" applyFont="1" applyFill="1" applyBorder="1"/>
    <xf numFmtId="3" fontId="52" fillId="29" borderId="136" xfId="0" applyNumberFormat="1" applyFont="1" applyFill="1" applyBorder="1"/>
    <xf numFmtId="0" fontId="95" fillId="27" borderId="84" xfId="0" applyFont="1" applyFill="1" applyBorder="1" applyAlignment="1"/>
    <xf numFmtId="0" fontId="94" fillId="27" borderId="84" xfId="0" applyFont="1" applyFill="1" applyBorder="1"/>
    <xf numFmtId="3" fontId="52" fillId="27" borderId="82" xfId="0" applyNumberFormat="1" applyFont="1" applyFill="1" applyBorder="1"/>
    <xf numFmtId="3" fontId="52" fillId="29" borderId="135" xfId="0" applyNumberFormat="1" applyFont="1" applyFill="1" applyBorder="1"/>
    <xf numFmtId="0" fontId="50" fillId="29" borderId="104" xfId="0" applyFont="1" applyFill="1" applyBorder="1"/>
    <xf numFmtId="0" fontId="44" fillId="29" borderId="0" xfId="0" applyFont="1" applyFill="1" applyBorder="1" applyAlignment="1"/>
    <xf numFmtId="0" fontId="50" fillId="29" borderId="0" xfId="0" applyFont="1" applyFill="1" applyBorder="1"/>
    <xf numFmtId="3" fontId="44" fillId="33" borderId="41" xfId="0" applyNumberFormat="1" applyFont="1" applyFill="1" applyBorder="1" applyAlignment="1">
      <alignment horizontal="right"/>
    </xf>
    <xf numFmtId="3" fontId="44" fillId="33" borderId="0" xfId="0" applyNumberFormat="1" applyFont="1" applyFill="1" applyBorder="1" applyAlignment="1">
      <alignment horizontal="right"/>
    </xf>
    <xf numFmtId="3" fontId="44" fillId="33" borderId="24" xfId="0" applyNumberFormat="1" applyFont="1" applyFill="1" applyBorder="1" applyAlignment="1">
      <alignment horizontal="right"/>
    </xf>
    <xf numFmtId="3" fontId="44" fillId="33" borderId="86" xfId="0" applyNumberFormat="1" applyFont="1" applyFill="1" applyBorder="1" applyAlignment="1">
      <alignment horizontal="right"/>
    </xf>
    <xf numFmtId="3" fontId="52" fillId="29" borderId="50" xfId="0" applyNumberFormat="1" applyFont="1" applyFill="1" applyBorder="1"/>
    <xf numFmtId="3" fontId="52" fillId="29" borderId="41" xfId="0" applyNumberFormat="1" applyFont="1" applyFill="1" applyBorder="1"/>
    <xf numFmtId="3" fontId="52" fillId="29" borderId="0" xfId="0" applyNumberFormat="1" applyFont="1" applyFill="1" applyBorder="1"/>
    <xf numFmtId="0" fontId="0" fillId="32" borderId="0" xfId="0" applyFill="1" applyBorder="1"/>
    <xf numFmtId="49" fontId="54" fillId="15" borderId="55" xfId="0" applyNumberFormat="1" applyFont="1" applyFill="1" applyBorder="1" applyAlignment="1">
      <alignment horizontal="right"/>
    </xf>
    <xf numFmtId="0" fontId="0" fillId="26" borderId="17" xfId="0" applyFill="1" applyBorder="1"/>
    <xf numFmtId="167" fontId="52" fillId="29" borderId="24" xfId="0" applyNumberFormat="1" applyFont="1" applyFill="1" applyBorder="1"/>
    <xf numFmtId="0" fontId="50" fillId="29" borderId="154" xfId="0" applyFont="1" applyFill="1" applyBorder="1"/>
    <xf numFmtId="0" fontId="44" fillId="29" borderId="155" xfId="0" applyFont="1" applyFill="1" applyBorder="1" applyAlignment="1"/>
    <xf numFmtId="0" fontId="50" fillId="29" borderId="155" xfId="0" applyFont="1" applyFill="1" applyBorder="1"/>
    <xf numFmtId="0" fontId="50" fillId="29" borderId="156" xfId="0" applyFont="1" applyFill="1" applyBorder="1"/>
    <xf numFmtId="167" fontId="52" fillId="29" borderId="157" xfId="0" applyNumberFormat="1" applyFont="1" applyFill="1" applyBorder="1"/>
    <xf numFmtId="3" fontId="52" fillId="29" borderId="156" xfId="0" applyNumberFormat="1" applyFont="1" applyFill="1" applyBorder="1"/>
    <xf numFmtId="3" fontId="52" fillId="29" borderId="158" xfId="0" applyNumberFormat="1" applyFont="1" applyFill="1" applyBorder="1"/>
    <xf numFmtId="3" fontId="52" fillId="29" borderId="155" xfId="0" applyNumberFormat="1" applyFont="1" applyFill="1" applyBorder="1"/>
    <xf numFmtId="0" fontId="55" fillId="10" borderId="73" xfId="0" applyFont="1" applyFill="1" applyBorder="1" applyAlignment="1">
      <alignment vertical="center"/>
    </xf>
    <xf numFmtId="0" fontId="0" fillId="10" borderId="26" xfId="0" applyFont="1" applyFill="1" applyBorder="1" applyAlignment="1">
      <alignment horizontal="center"/>
    </xf>
    <xf numFmtId="0" fontId="0" fillId="10" borderId="159" xfId="0" applyFont="1" applyFill="1" applyBorder="1" applyAlignment="1">
      <alignment horizontal="center" vertical="center"/>
    </xf>
    <xf numFmtId="0" fontId="0" fillId="10" borderId="45" xfId="0" applyFont="1" applyFill="1" applyBorder="1" applyAlignment="1">
      <alignment horizontal="center"/>
    </xf>
    <xf numFmtId="0" fontId="6" fillId="10" borderId="50" xfId="0" applyFont="1" applyFill="1" applyBorder="1" applyAlignment="1">
      <alignment horizontal="center" vertical="center"/>
    </xf>
    <xf numFmtId="0" fontId="0" fillId="10" borderId="90" xfId="0" applyFont="1" applyFill="1" applyBorder="1" applyAlignment="1">
      <alignment horizontal="center" vertical="center"/>
    </xf>
    <xf numFmtId="3" fontId="66" fillId="0" borderId="70" xfId="0" applyNumberFormat="1" applyFont="1" applyBorder="1"/>
    <xf numFmtId="3" fontId="0" fillId="0" borderId="53" xfId="0" applyNumberFormat="1" applyFont="1" applyBorder="1"/>
    <xf numFmtId="3" fontId="0" fillId="0" borderId="50" xfId="0" applyNumberFormat="1" applyFont="1" applyFill="1" applyBorder="1"/>
    <xf numFmtId="0" fontId="0" fillId="0" borderId="105" xfId="0" applyFont="1" applyFill="1" applyBorder="1" applyAlignment="1">
      <alignment horizontal="left" vertical="center"/>
    </xf>
    <xf numFmtId="0" fontId="55" fillId="0" borderId="86" xfId="0" applyFont="1" applyFill="1" applyBorder="1"/>
    <xf numFmtId="0" fontId="53" fillId="0" borderId="87" xfId="0" applyFont="1" applyFill="1" applyBorder="1"/>
    <xf numFmtId="0" fontId="6" fillId="10" borderId="60" xfId="0" applyFont="1" applyFill="1" applyBorder="1" applyAlignment="1">
      <alignment horizontal="center" vertical="center"/>
    </xf>
    <xf numFmtId="0" fontId="0" fillId="10" borderId="160" xfId="0" applyFont="1" applyFill="1" applyBorder="1" applyAlignment="1">
      <alignment horizontal="center" vertical="center"/>
    </xf>
    <xf numFmtId="0" fontId="0" fillId="10" borderId="85" xfId="0" applyFont="1" applyFill="1" applyBorder="1" applyAlignment="1">
      <alignment horizontal="center"/>
    </xf>
    <xf numFmtId="0" fontId="6" fillId="10" borderId="90" xfId="0" applyFont="1" applyFill="1" applyBorder="1" applyAlignment="1">
      <alignment horizontal="center" vertical="center"/>
    </xf>
    <xf numFmtId="0" fontId="51" fillId="34" borderId="161" xfId="0" applyFont="1" applyFill="1" applyBorder="1" applyAlignment="1">
      <alignment horizontal="center"/>
    </xf>
    <xf numFmtId="167" fontId="44" fillId="34" borderId="82" xfId="0" applyNumberFormat="1" applyFont="1" applyFill="1" applyBorder="1" applyAlignment="1">
      <alignment horizontal="right"/>
    </xf>
    <xf numFmtId="3" fontId="52" fillId="34" borderId="83" xfId="0" applyNumberFormat="1" applyFont="1" applyFill="1" applyBorder="1" applyAlignment="1">
      <alignment horizontal="right"/>
    </xf>
    <xf numFmtId="3" fontId="52" fillId="34" borderId="82" xfId="0" applyNumberFormat="1" applyFont="1" applyFill="1" applyBorder="1" applyAlignment="1">
      <alignment horizontal="right"/>
    </xf>
    <xf numFmtId="3" fontId="55" fillId="7" borderId="85" xfId="0" applyNumberFormat="1" applyFont="1" applyFill="1" applyBorder="1"/>
    <xf numFmtId="3" fontId="52" fillId="29" borderId="90" xfId="0" applyNumberFormat="1" applyFont="1" applyFill="1" applyBorder="1"/>
    <xf numFmtId="3" fontId="52" fillId="15" borderId="16" xfId="0" applyNumberFormat="1" applyFont="1" applyFill="1" applyBorder="1" applyAlignment="1"/>
    <xf numFmtId="3" fontId="44" fillId="26" borderId="16" xfId="0" applyNumberFormat="1" applyFont="1" applyFill="1" applyBorder="1" applyAlignment="1">
      <alignment horizontal="right"/>
    </xf>
    <xf numFmtId="3" fontId="52" fillId="27" borderId="86" xfId="0" applyNumberFormat="1" applyFont="1" applyFill="1" applyBorder="1"/>
    <xf numFmtId="3" fontId="52" fillId="29" borderId="162" xfId="0" applyNumberFormat="1" applyFont="1" applyFill="1" applyBorder="1"/>
    <xf numFmtId="3" fontId="52" fillId="10" borderId="160" xfId="0" applyNumberFormat="1" applyFont="1" applyFill="1" applyBorder="1" applyAlignment="1"/>
    <xf numFmtId="3" fontId="64" fillId="0" borderId="87" xfId="0" applyNumberFormat="1" applyFont="1" applyFill="1" applyBorder="1" applyAlignment="1">
      <alignment horizontal="right"/>
    </xf>
    <xf numFmtId="3" fontId="61" fillId="8" borderId="87" xfId="0" applyNumberFormat="1" applyFont="1" applyFill="1" applyBorder="1"/>
    <xf numFmtId="3" fontId="44" fillId="8" borderId="87" xfId="0" applyNumberFormat="1" applyFont="1" applyFill="1" applyBorder="1"/>
    <xf numFmtId="3" fontId="44" fillId="27" borderId="86" xfId="0" applyNumberFormat="1" applyFont="1" applyFill="1" applyBorder="1"/>
    <xf numFmtId="3" fontId="44" fillId="15" borderId="87" xfId="0" applyNumberFormat="1" applyFont="1" applyFill="1" applyBorder="1"/>
    <xf numFmtId="3" fontId="49" fillId="7" borderId="63" xfId="0" applyNumberFormat="1" applyFont="1" applyFill="1" applyBorder="1" applyAlignment="1"/>
    <xf numFmtId="3" fontId="52" fillId="29" borderId="24" xfId="0" applyNumberFormat="1" applyFont="1" applyFill="1" applyBorder="1"/>
    <xf numFmtId="3" fontId="52" fillId="10" borderId="74" xfId="0" applyNumberFormat="1" applyFont="1" applyFill="1" applyBorder="1" applyAlignment="1"/>
    <xf numFmtId="3" fontId="50" fillId="0" borderId="16" xfId="0" applyNumberFormat="1" applyFont="1" applyFill="1" applyBorder="1" applyAlignment="1">
      <alignment horizontal="right"/>
    </xf>
    <xf numFmtId="3" fontId="52" fillId="15" borderId="16" xfId="0" applyNumberFormat="1" applyFont="1" applyFill="1" applyBorder="1" applyAlignment="1">
      <alignment horizontal="right"/>
    </xf>
    <xf numFmtId="3" fontId="44" fillId="0" borderId="37" xfId="0" applyNumberFormat="1" applyFont="1" applyFill="1" applyBorder="1" applyAlignment="1">
      <alignment horizontal="right"/>
    </xf>
    <xf numFmtId="3" fontId="50" fillId="0" borderId="87" xfId="0" applyNumberFormat="1" applyFont="1" applyFill="1" applyBorder="1" applyAlignment="1">
      <alignment horizontal="right"/>
    </xf>
    <xf numFmtId="3" fontId="52" fillId="15" borderId="87" xfId="0" applyNumberFormat="1" applyFont="1" applyFill="1" applyBorder="1" applyAlignment="1">
      <alignment horizontal="right"/>
    </xf>
    <xf numFmtId="3" fontId="50" fillId="27" borderId="86" xfId="0" applyNumberFormat="1" applyFont="1" applyFill="1" applyBorder="1" applyAlignment="1">
      <alignment horizontal="right"/>
    </xf>
    <xf numFmtId="3" fontId="52" fillId="15" borderId="53" xfId="0" applyNumberFormat="1" applyFont="1" applyFill="1" applyBorder="1" applyAlignment="1">
      <alignment horizontal="right"/>
    </xf>
    <xf numFmtId="3" fontId="52" fillId="15" borderId="54" xfId="0" applyNumberFormat="1" applyFont="1" applyFill="1" applyBorder="1" applyAlignment="1">
      <alignment horizontal="right"/>
    </xf>
    <xf numFmtId="3" fontId="50" fillId="0" borderId="88" xfId="0" applyNumberFormat="1" applyFont="1" applyFill="1" applyBorder="1" applyAlignment="1">
      <alignment horizontal="right"/>
    </xf>
    <xf numFmtId="3" fontId="44" fillId="0" borderId="87" xfId="0" applyNumberFormat="1" applyFont="1" applyBorder="1"/>
    <xf numFmtId="3" fontId="50" fillId="10" borderId="86" xfId="0" applyNumberFormat="1" applyFont="1" applyFill="1" applyBorder="1"/>
    <xf numFmtId="3" fontId="50" fillId="32" borderId="86" xfId="0" applyNumberFormat="1" applyFont="1" applyFill="1" applyBorder="1"/>
    <xf numFmtId="3" fontId="50" fillId="26" borderId="87" xfId="0" applyNumberFormat="1" applyFont="1" applyFill="1" applyBorder="1"/>
    <xf numFmtId="3" fontId="44" fillId="0" borderId="118" xfId="0" applyNumberFormat="1" applyFont="1" applyFill="1" applyBorder="1" applyAlignment="1">
      <alignment horizontal="right"/>
    </xf>
    <xf numFmtId="3" fontId="44" fillId="7" borderId="86" xfId="0" applyNumberFormat="1" applyFont="1" applyFill="1" applyBorder="1" applyAlignment="1">
      <alignment horizontal="right"/>
    </xf>
    <xf numFmtId="3" fontId="44" fillId="0" borderId="86" xfId="0" applyNumberFormat="1" applyFont="1" applyFill="1" applyBorder="1"/>
    <xf numFmtId="3" fontId="55" fillId="10" borderId="86" xfId="0" applyNumberFormat="1" applyFont="1" applyFill="1" applyBorder="1" applyAlignment="1"/>
    <xf numFmtId="3" fontId="44" fillId="33" borderId="50" xfId="0" applyNumberFormat="1" applyFont="1" applyFill="1" applyBorder="1" applyAlignment="1">
      <alignment horizontal="right"/>
    </xf>
    <xf numFmtId="3" fontId="44" fillId="26" borderId="164" xfId="0" applyNumberFormat="1" applyFont="1" applyFill="1" applyBorder="1" applyAlignment="1">
      <alignment horizontal="right"/>
    </xf>
    <xf numFmtId="3" fontId="44" fillId="0" borderId="81" xfId="0" applyNumberFormat="1" applyFont="1" applyFill="1" applyBorder="1" applyAlignment="1">
      <alignment horizontal="right"/>
    </xf>
    <xf numFmtId="3" fontId="52" fillId="10" borderId="50" xfId="0" applyNumberFormat="1" applyFont="1" applyFill="1" applyBorder="1" applyAlignment="1">
      <alignment horizontal="right"/>
    </xf>
    <xf numFmtId="3" fontId="50" fillId="29" borderId="86" xfId="0" applyNumberFormat="1" applyFont="1" applyFill="1" applyBorder="1"/>
    <xf numFmtId="3" fontId="50" fillId="26" borderId="108" xfId="0" applyNumberFormat="1" applyFont="1" applyFill="1" applyBorder="1"/>
    <xf numFmtId="3" fontId="44" fillId="10" borderId="86" xfId="0" applyNumberFormat="1" applyFont="1" applyFill="1" applyBorder="1" applyAlignment="1">
      <alignment horizontal="right"/>
    </xf>
    <xf numFmtId="3" fontId="50" fillId="0" borderId="90" xfId="0" applyNumberFormat="1" applyFont="1" applyFill="1" applyBorder="1" applyAlignment="1">
      <alignment horizontal="right"/>
    </xf>
    <xf numFmtId="3" fontId="50" fillId="3" borderId="86" xfId="0" applyNumberFormat="1" applyFont="1" applyFill="1" applyBorder="1" applyAlignment="1">
      <alignment horizontal="right"/>
    </xf>
    <xf numFmtId="3" fontId="50" fillId="28" borderId="86" xfId="0" applyNumberFormat="1" applyFont="1" applyFill="1" applyBorder="1"/>
    <xf numFmtId="3" fontId="52" fillId="3" borderId="86" xfId="0" applyNumberFormat="1" applyFont="1" applyFill="1" applyBorder="1" applyAlignment="1">
      <alignment horizontal="right"/>
    </xf>
    <xf numFmtId="3" fontId="44" fillId="0" borderId="86" xfId="0" applyNumberFormat="1" applyFont="1" applyBorder="1"/>
    <xf numFmtId="3" fontId="52" fillId="7" borderId="118" xfId="0" applyNumberFormat="1" applyFont="1" applyFill="1" applyBorder="1" applyAlignment="1"/>
    <xf numFmtId="3" fontId="52" fillId="28" borderId="89" xfId="0" applyNumberFormat="1" applyFont="1" applyFill="1" applyBorder="1" applyAlignment="1"/>
    <xf numFmtId="3" fontId="52" fillId="29" borderId="90" xfId="0" applyNumberFormat="1" applyFont="1" applyFill="1" applyBorder="1" applyAlignment="1"/>
    <xf numFmtId="3" fontId="44" fillId="0" borderId="86" xfId="0" applyNumberFormat="1" applyFont="1" applyFill="1" applyBorder="1" applyAlignment="1"/>
    <xf numFmtId="3" fontId="44" fillId="0" borderId="87" xfId="0" applyNumberFormat="1" applyFont="1" applyFill="1" applyBorder="1" applyAlignment="1"/>
    <xf numFmtId="3" fontId="50" fillId="15" borderId="87" xfId="0" applyNumberFormat="1" applyFont="1" applyFill="1" applyBorder="1" applyAlignment="1"/>
    <xf numFmtId="3" fontId="44" fillId="0" borderId="90" xfId="0" applyNumberFormat="1" applyFont="1" applyFill="1" applyBorder="1" applyAlignment="1"/>
    <xf numFmtId="0" fontId="36" fillId="0" borderId="124" xfId="569" applyFont="1" applyBorder="1"/>
    <xf numFmtId="0" fontId="36" fillId="0" borderId="117" xfId="569" applyFont="1" applyBorder="1"/>
    <xf numFmtId="0" fontId="36" fillId="0" borderId="165" xfId="569" applyFont="1" applyFill="1" applyBorder="1"/>
    <xf numFmtId="3" fontId="52" fillId="7" borderId="124" xfId="0" applyNumberFormat="1" applyFont="1" applyFill="1" applyBorder="1" applyAlignment="1"/>
    <xf numFmtId="3" fontId="52" fillId="28" borderId="82" xfId="0" applyNumberFormat="1" applyFont="1" applyFill="1" applyBorder="1" applyAlignment="1"/>
    <xf numFmtId="3" fontId="52" fillId="29" borderId="24" xfId="0" applyNumberFormat="1" applyFont="1" applyFill="1" applyBorder="1" applyAlignment="1"/>
    <xf numFmtId="3" fontId="50" fillId="3" borderId="24" xfId="0" applyNumberFormat="1" applyFont="1" applyFill="1" applyBorder="1" applyAlignment="1">
      <alignment horizontal="right"/>
    </xf>
    <xf numFmtId="3" fontId="50" fillId="28" borderId="24" xfId="0" applyNumberFormat="1" applyFont="1" applyFill="1" applyBorder="1"/>
    <xf numFmtId="3" fontId="52" fillId="3" borderId="24" xfId="0" applyNumberFormat="1" applyFont="1" applyFill="1" applyBorder="1" applyAlignment="1">
      <alignment horizontal="right"/>
    </xf>
    <xf numFmtId="3" fontId="44" fillId="0" borderId="16" xfId="0" applyNumberFormat="1" applyFont="1" applyFill="1" applyBorder="1"/>
    <xf numFmtId="3" fontId="44" fillId="0" borderId="24" xfId="0" applyNumberFormat="1" applyFont="1" applyFill="1" applyBorder="1"/>
    <xf numFmtId="0" fontId="44" fillId="0" borderId="24" xfId="0" applyFont="1" applyBorder="1"/>
    <xf numFmtId="3" fontId="50" fillId="29" borderId="24" xfId="0" applyNumberFormat="1" applyFont="1" applyFill="1" applyBorder="1"/>
    <xf numFmtId="3" fontId="44" fillId="0" borderId="24" xfId="0" applyNumberFormat="1" applyFont="1" applyFill="1" applyBorder="1" applyAlignment="1"/>
    <xf numFmtId="3" fontId="44" fillId="0" borderId="16" xfId="0" applyNumberFormat="1" applyFont="1" applyFill="1" applyBorder="1" applyAlignment="1"/>
    <xf numFmtId="3" fontId="48" fillId="0" borderId="35" xfId="0" applyNumberFormat="1" applyFont="1" applyFill="1" applyBorder="1" applyAlignment="1"/>
    <xf numFmtId="167" fontId="0" fillId="9" borderId="166" xfId="0" applyNumberFormat="1" applyFont="1" applyFill="1" applyBorder="1" applyAlignment="1">
      <alignment horizontal="center"/>
    </xf>
    <xf numFmtId="3" fontId="52" fillId="10" borderId="167" xfId="0" applyNumberFormat="1" applyFont="1" applyFill="1" applyBorder="1" applyAlignment="1"/>
    <xf numFmtId="3" fontId="50" fillId="27" borderId="24" xfId="0" applyNumberFormat="1" applyFont="1" applyFill="1" applyBorder="1" applyAlignment="1">
      <alignment horizontal="right"/>
    </xf>
    <xf numFmtId="3" fontId="44" fillId="3" borderId="24" xfId="0" applyNumberFormat="1" applyFont="1" applyFill="1" applyBorder="1" applyAlignment="1">
      <alignment horizontal="right"/>
    </xf>
    <xf numFmtId="3" fontId="61" fillId="0" borderId="118" xfId="0" applyNumberFormat="1" applyFont="1" applyFill="1" applyBorder="1" applyAlignment="1">
      <alignment horizontal="right"/>
    </xf>
    <xf numFmtId="0" fontId="43" fillId="0" borderId="63" xfId="569" applyFont="1" applyFill="1" applyBorder="1"/>
    <xf numFmtId="0" fontId="43" fillId="0" borderId="64" xfId="569" applyFont="1" applyFill="1" applyBorder="1" applyAlignment="1">
      <alignment vertical="top"/>
    </xf>
    <xf numFmtId="0" fontId="36" fillId="0" borderId="168" xfId="569" applyFont="1" applyFill="1" applyBorder="1"/>
    <xf numFmtId="3" fontId="31" fillId="4" borderId="0" xfId="569" applyNumberFormat="1" applyFont="1" applyFill="1" applyBorder="1" applyAlignment="1"/>
    <xf numFmtId="0" fontId="43" fillId="4" borderId="0" xfId="569" applyFont="1" applyFill="1" applyBorder="1" applyAlignment="1"/>
    <xf numFmtId="0" fontId="43" fillId="0" borderId="0" xfId="569" applyFont="1" applyFill="1" applyBorder="1" applyAlignment="1"/>
    <xf numFmtId="0" fontId="68" fillId="0" borderId="16" xfId="569" applyFont="1" applyBorder="1"/>
    <xf numFmtId="0" fontId="68" fillId="0" borderId="17" xfId="569" applyFont="1" applyBorder="1"/>
    <xf numFmtId="0" fontId="68" fillId="0" borderId="34" xfId="569" applyFont="1" applyBorder="1"/>
    <xf numFmtId="0" fontId="36" fillId="0" borderId="140" xfId="569" applyFont="1" applyBorder="1"/>
    <xf numFmtId="0" fontId="36" fillId="0" borderId="169" xfId="569" applyFont="1" applyFill="1" applyBorder="1"/>
    <xf numFmtId="0" fontId="36" fillId="0" borderId="140" xfId="569" applyFont="1" applyBorder="1" applyAlignment="1">
      <alignment horizontal="left"/>
    </xf>
    <xf numFmtId="0" fontId="36" fillId="0" borderId="170" xfId="569" applyFont="1" applyBorder="1"/>
    <xf numFmtId="0" fontId="36" fillId="0" borderId="171" xfId="569" applyFont="1" applyBorder="1"/>
    <xf numFmtId="0" fontId="68" fillId="0" borderId="13" xfId="569" applyFont="1" applyBorder="1"/>
    <xf numFmtId="0" fontId="68" fillId="0" borderId="28" xfId="569" applyFont="1" applyBorder="1"/>
    <xf numFmtId="0" fontId="36" fillId="0" borderId="172" xfId="569" applyFont="1" applyBorder="1"/>
    <xf numFmtId="0" fontId="38" fillId="0" borderId="173" xfId="569" applyFont="1" applyFill="1" applyBorder="1" applyAlignment="1">
      <alignment horizontal="left"/>
    </xf>
    <xf numFmtId="0" fontId="36" fillId="0" borderId="173" xfId="569" applyFont="1" applyFill="1" applyBorder="1"/>
    <xf numFmtId="0" fontId="69" fillId="8" borderId="173" xfId="569" applyFont="1" applyFill="1" applyBorder="1"/>
    <xf numFmtId="0" fontId="69" fillId="0" borderId="173" xfId="569" applyFont="1" applyFill="1" applyBorder="1"/>
    <xf numFmtId="0" fontId="36" fillId="0" borderId="173" xfId="569" applyFont="1" applyFill="1" applyBorder="1" applyAlignment="1">
      <alignment horizontal="left"/>
    </xf>
    <xf numFmtId="0" fontId="92" fillId="0" borderId="173" xfId="569" applyFont="1" applyFill="1" applyBorder="1" applyAlignment="1">
      <alignment horizontal="left"/>
    </xf>
    <xf numFmtId="0" fontId="69" fillId="0" borderId="173" xfId="569" applyFont="1" applyFill="1" applyBorder="1" applyAlignment="1">
      <alignment horizontal="left"/>
    </xf>
    <xf numFmtId="0" fontId="36" fillId="0" borderId="174" xfId="569" applyFont="1" applyBorder="1"/>
    <xf numFmtId="0" fontId="36" fillId="0" borderId="173" xfId="569" applyFont="1" applyBorder="1"/>
    <xf numFmtId="0" fontId="84" fillId="0" borderId="173" xfId="569" applyFont="1" applyBorder="1"/>
    <xf numFmtId="0" fontId="84" fillId="0" borderId="173" xfId="569" applyFont="1" applyFill="1" applyBorder="1"/>
    <xf numFmtId="0" fontId="37" fillId="0" borderId="95" xfId="569" applyFont="1" applyBorder="1"/>
    <xf numFmtId="0" fontId="36" fillId="0" borderId="175" xfId="569" applyFont="1" applyFill="1" applyBorder="1"/>
    <xf numFmtId="0" fontId="89" fillId="0" borderId="173" xfId="569" applyFont="1" applyBorder="1"/>
    <xf numFmtId="0" fontId="43" fillId="0" borderId="176" xfId="569" applyFont="1" applyFill="1" applyBorder="1" applyAlignment="1">
      <alignment horizontal="center"/>
    </xf>
    <xf numFmtId="0" fontId="69" fillId="0" borderId="173" xfId="569" applyFont="1" applyBorder="1"/>
    <xf numFmtId="0" fontId="69" fillId="0" borderId="174" xfId="569" applyFont="1" applyBorder="1"/>
    <xf numFmtId="0" fontId="84" fillId="0" borderId="16" xfId="569" applyFont="1" applyBorder="1"/>
    <xf numFmtId="0" fontId="84" fillId="0" borderId="17" xfId="569" applyFont="1" applyBorder="1"/>
    <xf numFmtId="0" fontId="84" fillId="0" borderId="16" xfId="569" applyFont="1" applyFill="1" applyBorder="1" applyAlignment="1">
      <alignment horizontal="right"/>
    </xf>
    <xf numFmtId="0" fontId="84" fillId="0" borderId="16" xfId="569" applyFont="1" applyFill="1" applyBorder="1"/>
    <xf numFmtId="0" fontId="36" fillId="0" borderId="174" xfId="569" applyFont="1" applyFill="1" applyBorder="1"/>
    <xf numFmtId="0" fontId="36" fillId="0" borderId="137" xfId="569" applyFont="1" applyFill="1" applyBorder="1"/>
    <xf numFmtId="0" fontId="43" fillId="0" borderId="177" xfId="569" applyFont="1" applyFill="1" applyBorder="1" applyAlignment="1">
      <alignment horizontal="center"/>
    </xf>
    <xf numFmtId="0" fontId="36" fillId="0" borderId="178" xfId="569" applyFont="1" applyFill="1" applyBorder="1"/>
    <xf numFmtId="0" fontId="37" fillId="0" borderId="178" xfId="569" applyFont="1" applyFill="1" applyBorder="1"/>
    <xf numFmtId="0" fontId="88" fillId="0" borderId="173" xfId="569" applyFont="1" applyFill="1" applyBorder="1"/>
    <xf numFmtId="0" fontId="36" fillId="0" borderId="174" xfId="569" applyFont="1" applyFill="1" applyBorder="1" applyAlignment="1">
      <alignment horizontal="left"/>
    </xf>
    <xf numFmtId="0" fontId="6" fillId="0" borderId="178" xfId="569" applyFont="1" applyFill="1" applyBorder="1"/>
    <xf numFmtId="0" fontId="87" fillId="0" borderId="179" xfId="569" applyFont="1" applyFill="1" applyBorder="1" applyAlignment="1">
      <alignment horizontal="left"/>
    </xf>
    <xf numFmtId="0" fontId="36" fillId="0" borderId="179" xfId="569" applyFont="1" applyFill="1" applyBorder="1"/>
    <xf numFmtId="0" fontId="36" fillId="0" borderId="180" xfId="569" applyFont="1" applyFill="1" applyBorder="1"/>
    <xf numFmtId="0" fontId="36" fillId="0" borderId="181" xfId="569" applyFont="1" applyFill="1" applyBorder="1"/>
    <xf numFmtId="0" fontId="36" fillId="0" borderId="141" xfId="569" applyFont="1" applyFill="1" applyBorder="1"/>
    <xf numFmtId="0" fontId="36" fillId="0" borderId="182" xfId="569" applyFont="1" applyFill="1" applyBorder="1"/>
    <xf numFmtId="0" fontId="36" fillId="0" borderId="183" xfId="569" applyFont="1" applyFill="1" applyBorder="1"/>
    <xf numFmtId="0" fontId="87" fillId="0" borderId="140" xfId="569" applyFont="1" applyFill="1" applyBorder="1" applyAlignment="1">
      <alignment horizontal="left"/>
    </xf>
    <xf numFmtId="0" fontId="69" fillId="0" borderId="140" xfId="569" applyFont="1" applyFill="1" applyBorder="1" applyAlignment="1">
      <alignment horizontal="left"/>
    </xf>
    <xf numFmtId="0" fontId="69" fillId="0" borderId="179" xfId="569" applyFont="1" applyFill="1" applyBorder="1" applyAlignment="1">
      <alignment horizontal="left"/>
    </xf>
    <xf numFmtId="0" fontId="36" fillId="0" borderId="179" xfId="569" applyFont="1" applyBorder="1"/>
    <xf numFmtId="0" fontId="37" fillId="8" borderId="179" xfId="569" applyFont="1" applyFill="1" applyBorder="1"/>
    <xf numFmtId="0" fontId="71" fillId="0" borderId="179" xfId="569" applyFont="1" applyFill="1" applyBorder="1"/>
    <xf numFmtId="0" fontId="71" fillId="0" borderId="180" xfId="569" applyFont="1" applyFill="1" applyBorder="1"/>
    <xf numFmtId="0" fontId="72" fillId="0" borderId="179" xfId="569" applyFont="1" applyFill="1" applyBorder="1"/>
    <xf numFmtId="0" fontId="74" fillId="0" borderId="181" xfId="569" applyFont="1" applyFill="1" applyBorder="1"/>
    <xf numFmtId="0" fontId="36" fillId="0" borderId="179" xfId="569" applyFont="1" applyBorder="1" applyAlignment="1">
      <alignment horizontal="left"/>
    </xf>
    <xf numFmtId="0" fontId="36" fillId="0" borderId="180" xfId="569" applyFont="1" applyBorder="1"/>
    <xf numFmtId="0" fontId="36" fillId="0" borderId="181" xfId="569" applyFont="1" applyBorder="1"/>
    <xf numFmtId="0" fontId="69" fillId="0" borderId="181" xfId="569" applyFont="1" applyBorder="1"/>
    <xf numFmtId="0" fontId="74" fillId="0" borderId="179" xfId="569" applyFont="1" applyFill="1" applyBorder="1"/>
    <xf numFmtId="0" fontId="36" fillId="0" borderId="141" xfId="569" applyFont="1" applyBorder="1"/>
    <xf numFmtId="0" fontId="36" fillId="0" borderId="184" xfId="569" applyFont="1" applyBorder="1"/>
    <xf numFmtId="0" fontId="43" fillId="0" borderId="181" xfId="569" applyFont="1" applyFill="1" applyBorder="1" applyAlignment="1">
      <alignment horizontal="center"/>
    </xf>
    <xf numFmtId="0" fontId="69" fillId="0" borderId="179" xfId="569" applyFont="1" applyBorder="1"/>
    <xf numFmtId="0" fontId="0" fillId="0" borderId="141" xfId="0" applyBorder="1"/>
    <xf numFmtId="0" fontId="69" fillId="0" borderId="180" xfId="569" applyFont="1" applyBorder="1"/>
    <xf numFmtId="3" fontId="44" fillId="0" borderId="41" xfId="0" applyNumberFormat="1" applyFont="1" applyBorder="1"/>
    <xf numFmtId="171" fontId="50" fillId="15" borderId="185" xfId="409" applyNumberFormat="1" applyFont="1" applyFill="1" applyBorder="1" applyAlignment="1">
      <alignment horizontal="right"/>
    </xf>
    <xf numFmtId="3" fontId="44" fillId="0" borderId="0" xfId="0" applyNumberFormat="1" applyFont="1" applyBorder="1"/>
    <xf numFmtId="167" fontId="44" fillId="0" borderId="0" xfId="0" applyNumberFormat="1" applyFont="1" applyBorder="1"/>
    <xf numFmtId="3" fontId="50" fillId="15" borderId="186" xfId="0" applyNumberFormat="1" applyFont="1" applyFill="1" applyBorder="1"/>
    <xf numFmtId="3" fontId="50" fillId="15" borderId="187" xfId="0" applyNumberFormat="1" applyFont="1" applyFill="1" applyBorder="1"/>
    <xf numFmtId="3" fontId="50" fillId="7" borderId="186" xfId="0" applyNumberFormat="1" applyFont="1" applyFill="1" applyBorder="1"/>
    <xf numFmtId="3" fontId="50" fillId="7" borderId="187" xfId="0" applyNumberFormat="1" applyFont="1" applyFill="1" applyBorder="1"/>
    <xf numFmtId="3" fontId="50" fillId="7" borderId="188" xfId="0" applyNumberFormat="1" applyFont="1" applyFill="1" applyBorder="1"/>
    <xf numFmtId="3" fontId="44" fillId="15" borderId="189" xfId="0" applyNumberFormat="1" applyFont="1" applyFill="1" applyBorder="1" applyAlignment="1"/>
    <xf numFmtId="3" fontId="44" fillId="15" borderId="64" xfId="0" applyNumberFormat="1" applyFont="1" applyFill="1" applyBorder="1" applyAlignment="1"/>
    <xf numFmtId="3" fontId="44" fillId="15" borderId="22" xfId="0" applyNumberFormat="1" applyFont="1" applyFill="1" applyBorder="1" applyAlignment="1"/>
    <xf numFmtId="3" fontId="44" fillId="15" borderId="190" xfId="0" applyNumberFormat="1" applyFont="1" applyFill="1" applyBorder="1" applyAlignment="1"/>
    <xf numFmtId="3" fontId="44" fillId="3" borderId="173" xfId="0" applyNumberFormat="1" applyFont="1" applyFill="1" applyBorder="1" applyAlignment="1"/>
    <xf numFmtId="3" fontId="44" fillId="3" borderId="17" xfId="0" applyNumberFormat="1" applyFont="1" applyFill="1" applyBorder="1" applyAlignment="1"/>
    <xf numFmtId="3" fontId="44" fillId="3" borderId="18" xfId="0" applyNumberFormat="1" applyFont="1" applyFill="1" applyBorder="1" applyAlignment="1"/>
    <xf numFmtId="3" fontId="44" fillId="3" borderId="191" xfId="0" applyNumberFormat="1" applyFont="1" applyFill="1" applyBorder="1" applyAlignment="1"/>
    <xf numFmtId="3" fontId="44" fillId="4" borderId="183" xfId="0" applyNumberFormat="1" applyFont="1" applyFill="1" applyBorder="1" applyAlignment="1"/>
    <xf numFmtId="3" fontId="44" fillId="4" borderId="17" xfId="0" applyNumberFormat="1" applyFont="1" applyFill="1" applyBorder="1" applyAlignment="1"/>
    <xf numFmtId="3" fontId="44" fillId="4" borderId="18" xfId="0" applyNumberFormat="1" applyFont="1" applyFill="1" applyBorder="1" applyAlignment="1"/>
    <xf numFmtId="3" fontId="44" fillId="4" borderId="191" xfId="0" applyNumberFormat="1" applyFont="1" applyFill="1" applyBorder="1" applyAlignment="1"/>
    <xf numFmtId="3" fontId="44" fillId="15" borderId="34" xfId="0" applyNumberFormat="1" applyFont="1" applyFill="1" applyBorder="1"/>
    <xf numFmtId="3" fontId="44" fillId="15" borderId="18" xfId="0" applyNumberFormat="1" applyFont="1" applyFill="1" applyBorder="1"/>
    <xf numFmtId="3" fontId="44" fillId="15" borderId="191" xfId="0" applyNumberFormat="1" applyFont="1" applyFill="1" applyBorder="1"/>
    <xf numFmtId="3" fontId="44" fillId="3" borderId="34" xfId="0" applyNumberFormat="1" applyFont="1" applyFill="1" applyBorder="1"/>
    <xf numFmtId="3" fontId="44" fillId="3" borderId="18" xfId="0" applyNumberFormat="1" applyFont="1" applyFill="1" applyBorder="1"/>
    <xf numFmtId="3" fontId="44" fillId="3" borderId="191" xfId="0" applyNumberFormat="1" applyFont="1" applyFill="1" applyBorder="1"/>
    <xf numFmtId="3" fontId="44" fillId="4" borderId="34" xfId="0" applyNumberFormat="1" applyFont="1" applyFill="1" applyBorder="1"/>
    <xf numFmtId="3" fontId="44" fillId="4" borderId="18" xfId="0" applyNumberFormat="1" applyFont="1" applyFill="1" applyBorder="1"/>
    <xf numFmtId="3" fontId="44" fillId="4" borderId="191" xfId="0" applyNumberFormat="1" applyFont="1" applyFill="1" applyBorder="1"/>
    <xf numFmtId="3" fontId="44" fillId="4" borderId="33" xfId="0" applyNumberFormat="1" applyFont="1" applyFill="1" applyBorder="1"/>
    <xf numFmtId="3" fontId="44" fillId="4" borderId="31" xfId="0" applyNumberFormat="1" applyFont="1" applyFill="1" applyBorder="1"/>
    <xf numFmtId="3" fontId="44" fillId="4" borderId="192" xfId="0" applyNumberFormat="1" applyFont="1" applyFill="1" applyBorder="1"/>
    <xf numFmtId="3" fontId="44" fillId="15" borderId="64" xfId="0" applyNumberFormat="1" applyFont="1" applyFill="1" applyBorder="1" applyAlignment="1">
      <alignment horizontal="center"/>
    </xf>
    <xf numFmtId="3" fontId="44" fillId="3" borderId="17" xfId="0" applyNumberFormat="1" applyFont="1" applyFill="1" applyBorder="1" applyAlignment="1">
      <alignment horizontal="center"/>
    </xf>
    <xf numFmtId="3" fontId="44" fillId="4" borderId="17" xfId="0" applyNumberFormat="1" applyFont="1" applyFill="1" applyBorder="1" applyAlignment="1">
      <alignment horizontal="center"/>
    </xf>
    <xf numFmtId="3" fontId="44" fillId="15" borderId="34" xfId="0" applyNumberFormat="1" applyFont="1" applyFill="1" applyBorder="1" applyAlignment="1">
      <alignment horizontal="center"/>
    </xf>
    <xf numFmtId="3" fontId="44" fillId="3" borderId="34" xfId="0" applyNumberFormat="1" applyFont="1" applyFill="1" applyBorder="1" applyAlignment="1">
      <alignment horizontal="center"/>
    </xf>
    <xf numFmtId="3" fontId="44" fillId="4" borderId="34" xfId="0" applyNumberFormat="1" applyFont="1" applyFill="1" applyBorder="1" applyAlignment="1">
      <alignment horizontal="center"/>
    </xf>
    <xf numFmtId="171" fontId="44" fillId="3" borderId="34" xfId="0" applyNumberFormat="1" applyFont="1" applyFill="1" applyBorder="1" applyAlignment="1">
      <alignment horizontal="center"/>
    </xf>
    <xf numFmtId="171" fontId="44" fillId="4" borderId="33" xfId="0" applyNumberFormat="1" applyFont="1" applyFill="1" applyBorder="1" applyAlignment="1">
      <alignment horizontal="center"/>
    </xf>
    <xf numFmtId="0" fontId="0" fillId="26" borderId="0" xfId="0" applyFill="1" applyBorder="1"/>
    <xf numFmtId="49" fontId="29" fillId="15" borderId="84" xfId="0" applyNumberFormat="1" applyFont="1" applyFill="1" applyBorder="1"/>
    <xf numFmtId="3" fontId="0" fillId="15" borderId="80" xfId="0" applyNumberFormat="1" applyFont="1" applyFill="1" applyBorder="1" applyAlignment="1">
      <alignment horizontal="right" vertical="center"/>
    </xf>
    <xf numFmtId="0" fontId="0" fillId="26" borderId="91" xfId="0" applyFill="1" applyBorder="1"/>
    <xf numFmtId="0" fontId="0" fillId="26" borderId="84" xfId="0" applyFill="1" applyBorder="1"/>
    <xf numFmtId="3" fontId="0" fillId="15" borderId="84" xfId="0" applyNumberFormat="1" applyFont="1" applyFill="1" applyBorder="1" applyAlignment="1">
      <alignment horizontal="right"/>
    </xf>
    <xf numFmtId="3" fontId="0" fillId="15" borderId="80" xfId="0" applyNumberFormat="1" applyFont="1" applyFill="1" applyBorder="1" applyAlignment="1">
      <alignment horizontal="right"/>
    </xf>
    <xf numFmtId="49" fontId="29" fillId="15" borderId="84" xfId="0" applyNumberFormat="1" applyFont="1" applyFill="1" applyBorder="1" applyAlignment="1"/>
    <xf numFmtId="49" fontId="29" fillId="15" borderId="91" xfId="0" applyNumberFormat="1" applyFont="1" applyFill="1" applyBorder="1"/>
    <xf numFmtId="3" fontId="0" fillId="15" borderId="193" xfId="0" applyNumberFormat="1" applyFont="1" applyFill="1" applyBorder="1" applyAlignment="1">
      <alignment horizontal="right"/>
    </xf>
    <xf numFmtId="0" fontId="0" fillId="26" borderId="108" xfId="0" applyFill="1" applyBorder="1"/>
    <xf numFmtId="0" fontId="0" fillId="26" borderId="89" xfId="0" applyFill="1" applyBorder="1"/>
    <xf numFmtId="49" fontId="29" fillId="15" borderId="97" xfId="0" applyNumberFormat="1" applyFont="1" applyFill="1" applyBorder="1" applyAlignment="1">
      <alignment horizontal="center"/>
    </xf>
    <xf numFmtId="0" fontId="0" fillId="26" borderId="194" xfId="0" applyFill="1" applyBorder="1"/>
    <xf numFmtId="0" fontId="0" fillId="26" borderId="145" xfId="0" applyFill="1" applyBorder="1"/>
    <xf numFmtId="49" fontId="29" fillId="15" borderId="195" xfId="0" applyNumberFormat="1" applyFont="1" applyFill="1" applyBorder="1" applyAlignment="1">
      <alignment horizontal="center"/>
    </xf>
    <xf numFmtId="16" fontId="29" fillId="26" borderId="97" xfId="0" applyNumberFormat="1" applyFont="1" applyFill="1" applyBorder="1" applyAlignment="1">
      <alignment horizontal="center"/>
    </xf>
    <xf numFmtId="0" fontId="29" fillId="26" borderId="84" xfId="0" applyFont="1" applyFill="1" applyBorder="1" applyAlignment="1">
      <alignment horizontal="left"/>
    </xf>
    <xf numFmtId="0" fontId="29" fillId="0" borderId="84" xfId="0" applyFont="1" applyBorder="1" applyAlignment="1">
      <alignment horizontal="left"/>
    </xf>
    <xf numFmtId="3" fontId="29" fillId="15" borderId="84" xfId="0" applyNumberFormat="1" applyFont="1" applyFill="1" applyBorder="1" applyAlignment="1">
      <alignment horizontal="right"/>
    </xf>
    <xf numFmtId="49" fontId="27" fillId="0" borderId="97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100" fillId="0" borderId="97" xfId="0" applyFont="1" applyBorder="1" applyAlignment="1">
      <alignment horizontal="left"/>
    </xf>
    <xf numFmtId="0" fontId="29" fillId="15" borderId="84" xfId="0" applyFont="1" applyFill="1" applyBorder="1" applyAlignment="1"/>
    <xf numFmtId="0" fontId="100" fillId="0" borderId="21" xfId="0" applyFont="1" applyBorder="1"/>
    <xf numFmtId="0" fontId="100" fillId="0" borderId="17" xfId="0" applyFont="1" applyBorder="1"/>
    <xf numFmtId="0" fontId="100" fillId="0" borderId="0" xfId="0" applyFont="1" applyBorder="1"/>
    <xf numFmtId="49" fontId="100" fillId="0" borderId="96" xfId="0" applyNumberFormat="1" applyFont="1" applyBorder="1" applyAlignment="1">
      <alignment horizontal="center"/>
    </xf>
    <xf numFmtId="49" fontId="100" fillId="0" borderId="95" xfId="0" applyNumberFormat="1" applyFont="1" applyBorder="1" applyAlignment="1">
      <alignment horizontal="center"/>
    </xf>
    <xf numFmtId="49" fontId="100" fillId="0" borderId="98" xfId="0" applyNumberFormat="1" applyFont="1" applyBorder="1" applyAlignment="1">
      <alignment horizontal="center"/>
    </xf>
    <xf numFmtId="17" fontId="100" fillId="0" borderId="96" xfId="0" applyNumberFormat="1" applyFont="1" applyBorder="1" applyAlignment="1">
      <alignment horizontal="center"/>
    </xf>
    <xf numFmtId="0" fontId="100" fillId="0" borderId="102" xfId="0" applyFont="1" applyBorder="1"/>
    <xf numFmtId="0" fontId="100" fillId="0" borderId="84" xfId="0" applyFont="1" applyBorder="1"/>
    <xf numFmtId="0" fontId="25" fillId="0" borderId="98" xfId="0" applyFont="1" applyBorder="1" applyAlignment="1">
      <alignment horizontal="center"/>
    </xf>
    <xf numFmtId="0" fontId="27" fillId="0" borderId="0" xfId="0" applyFont="1" applyBorder="1"/>
    <xf numFmtId="0" fontId="27" fillId="0" borderId="196" xfId="0" applyFont="1" applyBorder="1"/>
    <xf numFmtId="49" fontId="100" fillId="0" borderId="197" xfId="0" applyNumberFormat="1" applyFont="1" applyBorder="1" applyAlignment="1">
      <alignment horizontal="center"/>
    </xf>
    <xf numFmtId="0" fontId="100" fillId="0" borderId="155" xfId="0" applyFont="1" applyBorder="1"/>
    <xf numFmtId="3" fontId="99" fillId="35" borderId="198" xfId="0" applyNumberFormat="1" applyFont="1" applyFill="1" applyBorder="1" applyAlignment="1">
      <alignment horizontal="right"/>
    </xf>
    <xf numFmtId="49" fontId="29" fillId="0" borderId="95" xfId="0" applyNumberFormat="1" applyFont="1" applyBorder="1" applyAlignment="1">
      <alignment horizontal="center"/>
    </xf>
    <xf numFmtId="49" fontId="29" fillId="0" borderId="100" xfId="0" applyNumberFormat="1" applyFont="1" applyBorder="1" applyAlignment="1">
      <alignment horizontal="center"/>
    </xf>
    <xf numFmtId="3" fontId="100" fillId="0" borderId="137" xfId="0" applyNumberFormat="1" applyFont="1" applyBorder="1" applyAlignment="1">
      <alignment horizontal="right"/>
    </xf>
    <xf numFmtId="3" fontId="100" fillId="0" borderId="199" xfId="0" applyNumberFormat="1" applyFont="1" applyBorder="1" applyAlignment="1">
      <alignment horizontal="right"/>
    </xf>
    <xf numFmtId="3" fontId="100" fillId="0" borderId="200" xfId="0" applyNumberFormat="1" applyFont="1" applyBorder="1" applyAlignment="1">
      <alignment horizontal="right"/>
    </xf>
    <xf numFmtId="3" fontId="100" fillId="0" borderId="56" xfId="0" applyNumberFormat="1" applyFont="1" applyBorder="1" applyAlignment="1">
      <alignment horizontal="right"/>
    </xf>
    <xf numFmtId="3" fontId="100" fillId="0" borderId="52" xfId="0" applyNumberFormat="1" applyFont="1" applyBorder="1" applyAlignment="1">
      <alignment horizontal="right"/>
    </xf>
    <xf numFmtId="3" fontId="100" fillId="0" borderId="55" xfId="0" applyNumberFormat="1" applyFont="1" applyBorder="1" applyAlignment="1">
      <alignment horizontal="right"/>
    </xf>
    <xf numFmtId="49" fontId="100" fillId="0" borderId="97" xfId="0" applyNumberFormat="1" applyFont="1" applyBorder="1" applyAlignment="1">
      <alignment horizontal="center"/>
    </xf>
    <xf numFmtId="3" fontId="29" fillId="0" borderId="201" xfId="0" applyNumberFormat="1" applyFont="1" applyBorder="1" applyAlignment="1">
      <alignment horizontal="center" vertical="center" wrapText="1"/>
    </xf>
    <xf numFmtId="3" fontId="29" fillId="0" borderId="109" xfId="0" applyNumberFormat="1" applyFont="1" applyBorder="1" applyAlignment="1">
      <alignment horizontal="center" vertical="center" wrapText="1"/>
    </xf>
    <xf numFmtId="3" fontId="29" fillId="0" borderId="114" xfId="0" applyNumberFormat="1" applyFont="1" applyBorder="1" applyAlignment="1">
      <alignment horizontal="center" vertical="center" wrapText="1"/>
    </xf>
    <xf numFmtId="3" fontId="29" fillId="0" borderId="202" xfId="0" applyNumberFormat="1" applyFont="1" applyBorder="1" applyAlignment="1">
      <alignment horizontal="center" vertical="center" wrapText="1"/>
    </xf>
    <xf numFmtId="3" fontId="29" fillId="0" borderId="110" xfId="0" applyNumberFormat="1" applyFont="1" applyBorder="1" applyAlignment="1">
      <alignment horizontal="center" vertical="center" wrapText="1"/>
    </xf>
    <xf numFmtId="3" fontId="29" fillId="0" borderId="203" xfId="0" applyNumberFormat="1" applyFont="1" applyBorder="1" applyAlignment="1">
      <alignment horizontal="center" vertical="center" wrapText="1"/>
    </xf>
    <xf numFmtId="3" fontId="29" fillId="0" borderId="55" xfId="0" applyNumberFormat="1" applyFont="1" applyBorder="1" applyAlignment="1">
      <alignment horizontal="center" vertical="center"/>
    </xf>
    <xf numFmtId="3" fontId="29" fillId="0" borderId="201" xfId="0" applyNumberFormat="1" applyFont="1" applyBorder="1" applyAlignment="1">
      <alignment horizontal="center" vertical="center"/>
    </xf>
    <xf numFmtId="3" fontId="29" fillId="0" borderId="109" xfId="0" applyNumberFormat="1" applyFont="1" applyBorder="1" applyAlignment="1">
      <alignment horizontal="center" vertical="center"/>
    </xf>
    <xf numFmtId="3" fontId="29" fillId="0" borderId="110" xfId="0" applyNumberFormat="1" applyFont="1" applyBorder="1" applyAlignment="1">
      <alignment horizontal="center" vertical="center"/>
    </xf>
    <xf numFmtId="3" fontId="29" fillId="0" borderId="203" xfId="0" applyNumberFormat="1" applyFont="1" applyBorder="1" applyAlignment="1">
      <alignment horizontal="center" vertical="center"/>
    </xf>
    <xf numFmtId="3" fontId="29" fillId="0" borderId="203" xfId="0" applyNumberFormat="1" applyFont="1" applyBorder="1"/>
    <xf numFmtId="3" fontId="29" fillId="0" borderId="203" xfId="0" applyNumberFormat="1" applyFont="1" applyBorder="1" applyAlignment="1">
      <alignment vertical="center"/>
    </xf>
    <xf numFmtId="3" fontId="29" fillId="0" borderId="178" xfId="0" applyNumberFormat="1" applyFont="1" applyBorder="1" applyAlignment="1">
      <alignment horizontal="center" vertical="center"/>
    </xf>
    <xf numFmtId="3" fontId="29" fillId="0" borderId="141" xfId="0" applyNumberFormat="1" applyFont="1" applyBorder="1" applyAlignment="1">
      <alignment horizontal="center" vertical="center"/>
    </xf>
    <xf numFmtId="3" fontId="29" fillId="0" borderId="137" xfId="0" applyNumberFormat="1" applyFont="1" applyBorder="1" applyAlignment="1">
      <alignment horizontal="center" vertical="center"/>
    </xf>
    <xf numFmtId="3" fontId="29" fillId="0" borderId="91" xfId="0" applyNumberFormat="1" applyFont="1" applyBorder="1" applyAlignment="1">
      <alignment horizontal="center" vertical="center"/>
    </xf>
    <xf numFmtId="3" fontId="29" fillId="0" borderId="199" xfId="0" applyNumberFormat="1" applyFont="1" applyBorder="1" applyAlignment="1">
      <alignment horizontal="center" vertical="center"/>
    </xf>
    <xf numFmtId="3" fontId="29" fillId="0" borderId="200" xfId="0" applyNumberFormat="1" applyFont="1" applyBorder="1" applyAlignment="1">
      <alignment horizontal="center" vertical="center"/>
    </xf>
    <xf numFmtId="3" fontId="29" fillId="0" borderId="204" xfId="0" applyNumberFormat="1" applyFont="1" applyBorder="1" applyAlignment="1">
      <alignment horizontal="center" vertical="center"/>
    </xf>
    <xf numFmtId="3" fontId="29" fillId="0" borderId="205" xfId="0" applyNumberFormat="1" applyFont="1" applyBorder="1" applyAlignment="1">
      <alignment horizontal="center" vertical="center"/>
    </xf>
    <xf numFmtId="3" fontId="29" fillId="0" borderId="206" xfId="0" applyNumberFormat="1" applyFont="1" applyBorder="1" applyAlignment="1">
      <alignment horizontal="center" vertical="center"/>
    </xf>
    <xf numFmtId="3" fontId="99" fillId="36" borderId="137" xfId="0" applyNumberFormat="1" applyFont="1" applyFill="1" applyBorder="1"/>
    <xf numFmtId="3" fontId="99" fillId="36" borderId="91" xfId="0" applyNumberFormat="1" applyFont="1" applyFill="1" applyBorder="1"/>
    <xf numFmtId="3" fontId="99" fillId="36" borderId="159" xfId="0" applyNumberFormat="1" applyFont="1" applyFill="1" applyBorder="1"/>
    <xf numFmtId="3" fontId="99" fillId="36" borderId="110" xfId="0" applyNumberFormat="1" applyFont="1" applyFill="1" applyBorder="1"/>
    <xf numFmtId="3" fontId="99" fillId="35" borderId="137" xfId="0" applyNumberFormat="1" applyFont="1" applyFill="1" applyBorder="1" applyAlignment="1">
      <alignment horizontal="right"/>
    </xf>
    <xf numFmtId="0" fontId="99" fillId="37" borderId="178" xfId="0" applyFont="1" applyFill="1" applyBorder="1" applyAlignment="1">
      <alignment horizontal="center"/>
    </xf>
    <xf numFmtId="0" fontId="99" fillId="37" borderId="141" xfId="0" applyFont="1" applyFill="1" applyBorder="1" applyAlignment="1">
      <alignment horizontal="center"/>
    </xf>
    <xf numFmtId="0" fontId="99" fillId="37" borderId="196" xfId="0" applyFont="1" applyFill="1" applyBorder="1" applyAlignment="1">
      <alignment horizontal="center"/>
    </xf>
    <xf numFmtId="0" fontId="99" fillId="37" borderId="207" xfId="0" applyFont="1" applyFill="1" applyBorder="1" applyAlignment="1">
      <alignment horizontal="center"/>
    </xf>
    <xf numFmtId="0" fontId="29" fillId="26" borderId="84" xfId="0" applyFont="1" applyFill="1" applyBorder="1"/>
    <xf numFmtId="0" fontId="29" fillId="26" borderId="194" xfId="0" applyFont="1" applyFill="1" applyBorder="1"/>
    <xf numFmtId="0" fontId="29" fillId="26" borderId="89" xfId="0" applyFont="1" applyFill="1" applyBorder="1"/>
    <xf numFmtId="3" fontId="29" fillId="0" borderId="193" xfId="0" applyNumberFormat="1" applyFont="1" applyBorder="1" applyAlignment="1">
      <alignment horizontal="right"/>
    </xf>
    <xf numFmtId="3" fontId="29" fillId="26" borderId="193" xfId="0" applyNumberFormat="1" applyFont="1" applyFill="1" applyBorder="1" applyAlignment="1">
      <alignment horizontal="right"/>
    </xf>
    <xf numFmtId="3" fontId="29" fillId="0" borderId="84" xfId="0" applyNumberFormat="1" applyFont="1" applyBorder="1"/>
    <xf numFmtId="3" fontId="29" fillId="0" borderId="137" xfId="0" applyNumberFormat="1" applyFont="1" applyBorder="1"/>
    <xf numFmtId="3" fontId="29" fillId="0" borderId="193" xfId="0" applyNumberFormat="1" applyFont="1" applyBorder="1" applyAlignment="1">
      <alignment horizontal="right" vertical="center"/>
    </xf>
    <xf numFmtId="3" fontId="29" fillId="0" borderId="84" xfId="0" applyNumberFormat="1" applyFont="1" applyBorder="1" applyAlignment="1">
      <alignment vertical="center"/>
    </xf>
    <xf numFmtId="3" fontId="29" fillId="0" borderId="137" xfId="0" applyNumberFormat="1" applyFont="1" applyBorder="1" applyAlignment="1">
      <alignment vertical="center"/>
    </xf>
    <xf numFmtId="3" fontId="29" fillId="0" borderId="208" xfId="0" applyNumberFormat="1" applyFont="1" applyBorder="1" applyAlignment="1">
      <alignment horizontal="right" vertical="center" wrapText="1"/>
    </xf>
    <xf numFmtId="3" fontId="29" fillId="0" borderId="138" xfId="0" applyNumberFormat="1" applyFont="1" applyBorder="1" applyAlignment="1">
      <alignment vertical="center" wrapText="1"/>
    </xf>
    <xf numFmtId="3" fontId="29" fillId="0" borderId="137" xfId="0" applyNumberFormat="1" applyFont="1" applyBorder="1" applyAlignment="1">
      <alignment vertical="center" wrapText="1"/>
    </xf>
    <xf numFmtId="3" fontId="29" fillId="0" borderId="203" xfId="0" applyNumberFormat="1" applyFont="1" applyBorder="1" applyAlignment="1">
      <alignment vertical="center" wrapText="1"/>
    </xf>
    <xf numFmtId="3" fontId="100" fillId="0" borderId="137" xfId="0" applyNumberFormat="1" applyFont="1" applyBorder="1"/>
    <xf numFmtId="3" fontId="100" fillId="0" borderId="203" xfId="0" applyNumberFormat="1" applyFont="1" applyBorder="1"/>
    <xf numFmtId="3" fontId="29" fillId="0" borderId="208" xfId="0" applyNumberFormat="1" applyFont="1" applyBorder="1" applyAlignment="1">
      <alignment horizontal="right"/>
    </xf>
    <xf numFmtId="3" fontId="29" fillId="0" borderId="138" xfId="0" applyNumberFormat="1" applyFont="1" applyBorder="1"/>
    <xf numFmtId="3" fontId="29" fillId="0" borderId="209" xfId="0" applyNumberFormat="1" applyFont="1" applyBorder="1" applyAlignment="1">
      <alignment horizontal="right" vertical="center"/>
    </xf>
    <xf numFmtId="3" fontId="29" fillId="0" borderId="99" xfId="0" applyNumberFormat="1" applyFont="1" applyBorder="1" applyAlignment="1">
      <alignment vertical="center"/>
    </xf>
    <xf numFmtId="3" fontId="29" fillId="0" borderId="200" xfId="0" applyNumberFormat="1" applyFont="1" applyBorder="1" applyAlignment="1">
      <alignment vertical="center"/>
    </xf>
    <xf numFmtId="3" fontId="29" fillId="0" borderId="206" xfId="0" applyNumberFormat="1" applyFont="1" applyBorder="1" applyAlignment="1">
      <alignment vertical="center"/>
    </xf>
    <xf numFmtId="3" fontId="99" fillId="35" borderId="210" xfId="0" applyNumberFormat="1" applyFont="1" applyFill="1" applyBorder="1" applyAlignment="1">
      <alignment horizontal="right"/>
    </xf>
    <xf numFmtId="0" fontId="100" fillId="0" borderId="91" xfId="0" applyFont="1" applyBorder="1"/>
    <xf numFmtId="0" fontId="100" fillId="0" borderId="110" xfId="0" applyFont="1" applyBorder="1"/>
    <xf numFmtId="3" fontId="100" fillId="0" borderId="91" xfId="0" applyNumberFormat="1" applyFont="1" applyBorder="1"/>
    <xf numFmtId="3" fontId="100" fillId="0" borderId="110" xfId="0" applyNumberFormat="1" applyFont="1" applyBorder="1"/>
    <xf numFmtId="3" fontId="100" fillId="0" borderId="194" xfId="0" applyNumberFormat="1" applyFont="1" applyBorder="1"/>
    <xf numFmtId="3" fontId="100" fillId="0" borderId="200" xfId="0" applyNumberFormat="1" applyFont="1" applyBorder="1"/>
    <xf numFmtId="3" fontId="100" fillId="0" borderId="204" xfId="0" applyNumberFormat="1" applyFont="1" applyBorder="1"/>
    <xf numFmtId="3" fontId="100" fillId="0" borderId="205" xfId="0" applyNumberFormat="1" applyFont="1" applyBorder="1"/>
    <xf numFmtId="3" fontId="99" fillId="36" borderId="210" xfId="0" applyNumberFormat="1" applyFont="1" applyFill="1" applyBorder="1"/>
    <xf numFmtId="3" fontId="99" fillId="36" borderId="211" xfId="0" applyNumberFormat="1" applyFont="1" applyFill="1" applyBorder="1"/>
    <xf numFmtId="3" fontId="99" fillId="36" borderId="212" xfId="0" applyNumberFormat="1" applyFont="1" applyFill="1" applyBorder="1"/>
    <xf numFmtId="3" fontId="99" fillId="36" borderId="213" xfId="0" applyNumberFormat="1" applyFont="1" applyFill="1" applyBorder="1"/>
    <xf numFmtId="0" fontId="99" fillId="37" borderId="214" xfId="0" applyFont="1" applyFill="1" applyBorder="1" applyAlignment="1">
      <alignment horizontal="center"/>
    </xf>
    <xf numFmtId="3" fontId="99" fillId="31" borderId="137" xfId="0" applyNumberFormat="1" applyFont="1" applyFill="1" applyBorder="1"/>
    <xf numFmtId="3" fontId="99" fillId="31" borderId="91" xfId="0" applyNumberFormat="1" applyFont="1" applyFill="1" applyBorder="1"/>
    <xf numFmtId="3" fontId="99" fillId="31" borderId="159" xfId="0" applyNumberFormat="1" applyFont="1" applyFill="1" applyBorder="1"/>
    <xf numFmtId="3" fontId="99" fillId="31" borderId="110" xfId="0" applyNumberFormat="1" applyFont="1" applyFill="1" applyBorder="1"/>
    <xf numFmtId="3" fontId="101" fillId="3" borderId="137" xfId="0" applyNumberFormat="1" applyFont="1" applyFill="1" applyBorder="1" applyAlignment="1"/>
    <xf numFmtId="3" fontId="99" fillId="36" borderId="198" xfId="0" applyNumberFormat="1" applyFont="1" applyFill="1" applyBorder="1"/>
    <xf numFmtId="3" fontId="99" fillId="36" borderId="215" xfId="0" applyNumberFormat="1" applyFont="1" applyFill="1" applyBorder="1"/>
    <xf numFmtId="3" fontId="99" fillId="36" borderId="160" xfId="0" applyNumberFormat="1" applyFont="1" applyFill="1" applyBorder="1"/>
    <xf numFmtId="3" fontId="99" fillId="36" borderId="120" xfId="0" applyNumberFormat="1" applyFont="1" applyFill="1" applyBorder="1"/>
    <xf numFmtId="3" fontId="100" fillId="0" borderId="206" xfId="0" applyNumberFormat="1" applyFont="1" applyBorder="1"/>
    <xf numFmtId="3" fontId="99" fillId="36" borderId="115" xfId="0" applyNumberFormat="1" applyFont="1" applyFill="1" applyBorder="1"/>
    <xf numFmtId="3" fontId="100" fillId="0" borderId="201" xfId="0" applyNumberFormat="1" applyFont="1" applyBorder="1" applyAlignment="1">
      <alignment horizontal="right"/>
    </xf>
    <xf numFmtId="3" fontId="100" fillId="0" borderId="201" xfId="0" applyNumberFormat="1" applyFont="1" applyBorder="1"/>
    <xf numFmtId="3" fontId="100" fillId="0" borderId="109" xfId="0" applyNumberFormat="1" applyFont="1" applyBorder="1"/>
    <xf numFmtId="3" fontId="100" fillId="0" borderId="114" xfId="0" applyNumberFormat="1" applyFont="1" applyBorder="1"/>
    <xf numFmtId="3" fontId="100" fillId="0" borderId="202" xfId="0" applyNumberFormat="1" applyFont="1" applyBorder="1"/>
    <xf numFmtId="3" fontId="99" fillId="31" borderId="198" xfId="0" applyNumberFormat="1" applyFont="1" applyFill="1" applyBorder="1"/>
    <xf numFmtId="3" fontId="99" fillId="31" borderId="115" xfId="0" applyNumberFormat="1" applyFont="1" applyFill="1" applyBorder="1"/>
    <xf numFmtId="3" fontId="99" fillId="31" borderId="120" xfId="0" applyNumberFormat="1" applyFont="1" applyFill="1" applyBorder="1"/>
    <xf numFmtId="3" fontId="99" fillId="31" borderId="215" xfId="0" applyNumberFormat="1" applyFont="1" applyFill="1" applyBorder="1"/>
    <xf numFmtId="49" fontId="25" fillId="0" borderId="0" xfId="0" applyNumberFormat="1" applyFont="1" applyBorder="1" applyAlignment="1"/>
    <xf numFmtId="0" fontId="100" fillId="0" borderId="141" xfId="0" applyFont="1" applyBorder="1"/>
    <xf numFmtId="3" fontId="44" fillId="0" borderId="137" xfId="0" applyNumberFormat="1" applyFont="1" applyBorder="1"/>
    <xf numFmtId="3" fontId="44" fillId="0" borderId="91" xfId="0" applyNumberFormat="1" applyFont="1" applyBorder="1"/>
    <xf numFmtId="3" fontId="44" fillId="0" borderId="110" xfId="0" applyNumberFormat="1" applyFont="1" applyBorder="1"/>
    <xf numFmtId="3" fontId="99" fillId="31" borderId="162" xfId="0" applyNumberFormat="1" applyFont="1" applyFill="1" applyBorder="1"/>
    <xf numFmtId="3" fontId="44" fillId="0" borderId="203" xfId="0" applyNumberFormat="1" applyFont="1" applyBorder="1"/>
    <xf numFmtId="0" fontId="25" fillId="0" borderId="216" xfId="0" applyFont="1" applyBorder="1" applyAlignment="1">
      <alignment horizontal="center"/>
    </xf>
    <xf numFmtId="0" fontId="27" fillId="0" borderId="119" xfId="0" applyFont="1" applyBorder="1"/>
    <xf numFmtId="0" fontId="27" fillId="0" borderId="120" xfId="0" applyFont="1" applyBorder="1"/>
    <xf numFmtId="3" fontId="99" fillId="31" borderId="200" xfId="0" applyNumberFormat="1" applyFont="1" applyFill="1" applyBorder="1" applyAlignment="1">
      <alignment horizontal="right"/>
    </xf>
    <xf numFmtId="3" fontId="99" fillId="31" borderId="200" xfId="0" applyNumberFormat="1" applyFont="1" applyFill="1" applyBorder="1"/>
    <xf numFmtId="3" fontId="99" fillId="31" borderId="204" xfId="0" applyNumberFormat="1" applyFont="1" applyFill="1" applyBorder="1"/>
    <xf numFmtId="3" fontId="99" fillId="31" borderId="205" xfId="0" applyNumberFormat="1" applyFont="1" applyFill="1" applyBorder="1"/>
    <xf numFmtId="3" fontId="99" fillId="31" borderId="206" xfId="0" applyNumberFormat="1" applyFont="1" applyFill="1" applyBorder="1"/>
    <xf numFmtId="3" fontId="37" fillId="0" borderId="52" xfId="569" applyNumberFormat="1" applyFont="1" applyFill="1" applyBorder="1" applyAlignment="1">
      <alignment horizontal="right"/>
    </xf>
    <xf numFmtId="3" fontId="36" fillId="0" borderId="180" xfId="569" applyNumberFormat="1" applyFont="1" applyFill="1" applyBorder="1" applyAlignment="1">
      <alignment horizontal="right"/>
    </xf>
    <xf numFmtId="3" fontId="36" fillId="0" borderId="180" xfId="569" applyNumberFormat="1" applyFont="1" applyFill="1" applyBorder="1" applyAlignment="1">
      <alignment horizontal="left"/>
    </xf>
    <xf numFmtId="3" fontId="36" fillId="0" borderId="179" xfId="569" applyNumberFormat="1" applyFont="1" applyFill="1" applyBorder="1" applyAlignment="1">
      <alignment horizontal="right"/>
    </xf>
    <xf numFmtId="3" fontId="36" fillId="0" borderId="179" xfId="569" applyNumberFormat="1" applyFont="1" applyFill="1" applyBorder="1" applyAlignment="1">
      <alignment horizontal="left"/>
    </xf>
    <xf numFmtId="3" fontId="36" fillId="0" borderId="34" xfId="569" applyNumberFormat="1" applyFont="1" applyBorder="1" applyAlignment="1">
      <alignment horizontal="right"/>
    </xf>
    <xf numFmtId="3" fontId="36" fillId="0" borderId="34" xfId="569" applyNumberFormat="1" applyFont="1" applyBorder="1" applyAlignment="1">
      <alignment horizontal="left"/>
    </xf>
    <xf numFmtId="3" fontId="36" fillId="0" borderId="57" xfId="569" applyNumberFormat="1" applyFont="1" applyBorder="1" applyAlignment="1">
      <alignment horizontal="right"/>
    </xf>
    <xf numFmtId="3" fontId="36" fillId="0" borderId="191" xfId="569" applyNumberFormat="1" applyFont="1" applyBorder="1" applyAlignment="1">
      <alignment horizontal="right"/>
    </xf>
    <xf numFmtId="3" fontId="36" fillId="0" borderId="191" xfId="569" applyNumberFormat="1" applyFont="1" applyBorder="1" applyAlignment="1">
      <alignment horizontal="left"/>
    </xf>
    <xf numFmtId="3" fontId="36" fillId="0" borderId="34" xfId="569" applyNumberFormat="1" applyFont="1" applyFill="1" applyBorder="1" applyAlignment="1">
      <alignment horizontal="right"/>
    </xf>
    <xf numFmtId="3" fontId="36" fillId="0" borderId="191" xfId="569" applyNumberFormat="1" applyFont="1" applyFill="1" applyBorder="1" applyAlignment="1">
      <alignment horizontal="right"/>
    </xf>
    <xf numFmtId="3" fontId="36" fillId="0" borderId="21" xfId="569" applyNumberFormat="1" applyFont="1" applyBorder="1" applyAlignment="1">
      <alignment horizontal="right"/>
    </xf>
    <xf numFmtId="3" fontId="36" fillId="0" borderId="56" xfId="569" applyNumberFormat="1" applyFont="1" applyBorder="1"/>
    <xf numFmtId="3" fontId="36" fillId="0" borderId="75" xfId="569" applyNumberFormat="1" applyFont="1" applyBorder="1" applyAlignment="1">
      <alignment horizontal="right"/>
    </xf>
    <xf numFmtId="3" fontId="36" fillId="0" borderId="190" xfId="569" applyNumberFormat="1" applyFont="1" applyBorder="1" applyAlignment="1">
      <alignment horizontal="right"/>
    </xf>
    <xf numFmtId="3" fontId="36" fillId="0" borderId="122" xfId="569" applyNumberFormat="1" applyFont="1" applyFill="1" applyBorder="1" applyAlignment="1">
      <alignment horizontal="right"/>
    </xf>
    <xf numFmtId="3" fontId="36" fillId="0" borderId="52" xfId="569" applyNumberFormat="1" applyFont="1" applyBorder="1"/>
    <xf numFmtId="3" fontId="36" fillId="0" borderId="57" xfId="569" applyNumberFormat="1" applyFont="1" applyBorder="1"/>
    <xf numFmtId="3" fontId="36" fillId="0" borderId="217" xfId="569" applyNumberFormat="1" applyFont="1" applyBorder="1"/>
    <xf numFmtId="3" fontId="36" fillId="0" borderId="21" xfId="569" applyNumberFormat="1" applyFont="1" applyBorder="1"/>
    <xf numFmtId="3" fontId="36" fillId="0" borderId="17" xfId="569" applyNumberFormat="1" applyFont="1" applyBorder="1"/>
    <xf numFmtId="3" fontId="36" fillId="0" borderId="55" xfId="569" applyNumberFormat="1" applyFont="1" applyBorder="1"/>
    <xf numFmtId="3" fontId="36" fillId="0" borderId="191" xfId="569" applyNumberFormat="1" applyFont="1" applyBorder="1"/>
    <xf numFmtId="3" fontId="36" fillId="0" borderId="103" xfId="569" applyNumberFormat="1" applyFont="1" applyBorder="1"/>
    <xf numFmtId="3" fontId="36" fillId="0" borderId="190" xfId="569" applyNumberFormat="1" applyFont="1" applyBorder="1"/>
    <xf numFmtId="3" fontId="36" fillId="0" borderId="42" xfId="569" applyNumberFormat="1" applyFont="1" applyBorder="1"/>
    <xf numFmtId="3" fontId="36" fillId="0" borderId="104" xfId="569" applyNumberFormat="1" applyFont="1" applyBorder="1"/>
    <xf numFmtId="3" fontId="36" fillId="0" borderId="168" xfId="569" applyNumberFormat="1" applyFont="1" applyBorder="1"/>
    <xf numFmtId="3" fontId="69" fillId="0" borderId="191" xfId="569" applyNumberFormat="1" applyFont="1" applyBorder="1" applyAlignment="1">
      <alignment horizontal="left"/>
    </xf>
    <xf numFmtId="3" fontId="74" fillId="0" borderId="52" xfId="569" applyNumberFormat="1" applyFont="1" applyFill="1" applyBorder="1"/>
    <xf numFmtId="3" fontId="74" fillId="0" borderId="34" xfId="569" applyNumberFormat="1" applyFont="1" applyFill="1" applyBorder="1"/>
    <xf numFmtId="3" fontId="74" fillId="0" borderId="191" xfId="569" applyNumberFormat="1" applyFont="1" applyFill="1" applyBorder="1"/>
    <xf numFmtId="3" fontId="36" fillId="0" borderId="34" xfId="569" applyNumberFormat="1" applyFont="1" applyFill="1" applyBorder="1"/>
    <xf numFmtId="3" fontId="36" fillId="0" borderId="191" xfId="569" applyNumberFormat="1" applyFont="1" applyFill="1" applyBorder="1"/>
    <xf numFmtId="3" fontId="6" fillId="0" borderId="34" xfId="569" applyNumberFormat="1" applyFont="1" applyBorder="1"/>
    <xf numFmtId="3" fontId="6" fillId="0" borderId="191" xfId="569" applyNumberFormat="1" applyFont="1" applyBorder="1"/>
    <xf numFmtId="3" fontId="36" fillId="0" borderId="122" xfId="569" applyNumberFormat="1" applyFont="1" applyFill="1" applyBorder="1"/>
    <xf numFmtId="3" fontId="31" fillId="0" borderId="220" xfId="569" applyNumberFormat="1" applyFont="1" applyFill="1" applyBorder="1" applyAlignment="1">
      <alignment horizontal="center" vertical="center"/>
    </xf>
    <xf numFmtId="3" fontId="69" fillId="0" borderId="191" xfId="569" applyNumberFormat="1" applyFont="1" applyBorder="1" applyAlignment="1">
      <alignment horizontal="right"/>
    </xf>
    <xf numFmtId="3" fontId="0" fillId="0" borderId="50" xfId="0" applyNumberFormat="1" applyBorder="1"/>
    <xf numFmtId="3" fontId="69" fillId="0" borderId="191" xfId="569" applyNumberFormat="1" applyFont="1" applyFill="1" applyBorder="1" applyAlignment="1">
      <alignment horizontal="right"/>
    </xf>
    <xf numFmtId="3" fontId="36" fillId="0" borderId="191" xfId="569" applyNumberFormat="1" applyFont="1" applyFill="1" applyBorder="1" applyAlignment="1">
      <alignment horizontal="left"/>
    </xf>
    <xf numFmtId="3" fontId="74" fillId="0" borderId="34" xfId="569" applyNumberFormat="1" applyFont="1" applyFill="1" applyBorder="1" applyAlignment="1">
      <alignment horizontal="right"/>
    </xf>
    <xf numFmtId="3" fontId="74" fillId="0" borderId="191" xfId="569" applyNumberFormat="1" applyFont="1" applyFill="1" applyBorder="1" applyAlignment="1">
      <alignment horizontal="right"/>
    </xf>
    <xf numFmtId="3" fontId="35" fillId="15" borderId="52" xfId="569" applyNumberFormat="1" applyFont="1" applyFill="1" applyBorder="1"/>
    <xf numFmtId="3" fontId="36" fillId="0" borderId="122" xfId="569" applyNumberFormat="1" applyFont="1" applyBorder="1" applyAlignment="1">
      <alignment horizontal="right"/>
    </xf>
    <xf numFmtId="3" fontId="31" fillId="0" borderId="221" xfId="569" applyNumberFormat="1" applyFont="1" applyFill="1" applyBorder="1" applyAlignment="1">
      <alignment horizontal="center" vertical="center"/>
    </xf>
    <xf numFmtId="3" fontId="31" fillId="0" borderId="222" xfId="569" applyNumberFormat="1" applyFont="1" applyFill="1" applyBorder="1" applyAlignment="1">
      <alignment horizontal="center" vertical="center"/>
    </xf>
    <xf numFmtId="3" fontId="36" fillId="0" borderId="104" xfId="569" applyNumberFormat="1" applyFont="1" applyBorder="1" applyAlignment="1">
      <alignment horizontal="right"/>
    </xf>
    <xf numFmtId="3" fontId="36" fillId="0" borderId="217" xfId="569" applyNumberFormat="1" applyFont="1" applyFill="1" applyBorder="1"/>
    <xf numFmtId="3" fontId="69" fillId="0" borderId="217" xfId="569" applyNumberFormat="1" applyFont="1" applyFill="1" applyBorder="1" applyAlignment="1">
      <alignment horizontal="right"/>
    </xf>
    <xf numFmtId="3" fontId="69" fillId="0" borderId="191" xfId="569" applyNumberFormat="1" applyFont="1" applyFill="1" applyBorder="1" applyAlignment="1">
      <alignment horizontal="left"/>
    </xf>
    <xf numFmtId="3" fontId="37" fillId="8" borderId="34" xfId="569" applyNumberFormat="1" applyFont="1" applyFill="1" applyBorder="1"/>
    <xf numFmtId="3" fontId="37" fillId="8" borderId="191" xfId="569" applyNumberFormat="1" applyFont="1" applyFill="1" applyBorder="1"/>
    <xf numFmtId="3" fontId="71" fillId="0" borderId="191" xfId="569" applyNumberFormat="1" applyFont="1" applyFill="1" applyBorder="1"/>
    <xf numFmtId="0" fontId="43" fillId="7" borderId="73" xfId="569" applyFont="1" applyFill="1" applyBorder="1" applyAlignment="1">
      <alignment horizontal="center"/>
    </xf>
    <xf numFmtId="1" fontId="43" fillId="7" borderId="223" xfId="569" applyNumberFormat="1" applyFont="1" applyFill="1" applyBorder="1" applyAlignment="1">
      <alignment horizontal="center" vertical="center"/>
    </xf>
    <xf numFmtId="3" fontId="35" fillId="15" borderId="140" xfId="569" applyNumberFormat="1" applyFont="1" applyFill="1" applyBorder="1" applyAlignment="1">
      <alignment horizontal="right"/>
    </xf>
    <xf numFmtId="3" fontId="35" fillId="15" borderId="34" xfId="569" applyNumberFormat="1" applyFont="1" applyFill="1" applyBorder="1"/>
    <xf numFmtId="3" fontId="35" fillId="15" borderId="191" xfId="569" applyNumberFormat="1" applyFont="1" applyFill="1" applyBorder="1"/>
    <xf numFmtId="3" fontId="36" fillId="0" borderId="192" xfId="569" applyNumberFormat="1" applyFont="1" applyBorder="1"/>
    <xf numFmtId="3" fontId="87" fillId="0" borderId="191" xfId="569" applyNumberFormat="1" applyFont="1" applyBorder="1"/>
    <xf numFmtId="3" fontId="36" fillId="0" borderId="179" xfId="569" applyNumberFormat="1" applyFont="1" applyBorder="1"/>
    <xf numFmtId="3" fontId="87" fillId="0" borderId="191" xfId="569" applyNumberFormat="1" applyFont="1" applyBorder="1" applyAlignment="1">
      <alignment horizontal="left"/>
    </xf>
    <xf numFmtId="3" fontId="35" fillId="15" borderId="21" xfId="569" applyNumberFormat="1" applyFont="1" applyFill="1" applyBorder="1"/>
    <xf numFmtId="3" fontId="35" fillId="15" borderId="57" xfId="569" applyNumberFormat="1" applyFont="1" applyFill="1" applyBorder="1"/>
    <xf numFmtId="3" fontId="36" fillId="0" borderId="137" xfId="569" applyNumberFormat="1" applyFont="1" applyBorder="1"/>
    <xf numFmtId="3" fontId="36" fillId="0" borderId="226" xfId="569" applyNumberFormat="1" applyFont="1" applyBorder="1"/>
    <xf numFmtId="3" fontId="69" fillId="0" borderId="17" xfId="569" applyNumberFormat="1" applyFont="1" applyBorder="1" applyAlignment="1">
      <alignment horizontal="right"/>
    </xf>
    <xf numFmtId="3" fontId="35" fillId="15" borderId="87" xfId="569" applyNumberFormat="1" applyFont="1" applyFill="1" applyBorder="1"/>
    <xf numFmtId="3" fontId="84" fillId="0" borderId="227" xfId="569" applyNumberFormat="1" applyFont="1" applyFill="1" applyBorder="1"/>
    <xf numFmtId="3" fontId="88" fillId="0" borderId="227" xfId="569" applyNumberFormat="1" applyFont="1" applyFill="1" applyBorder="1" applyAlignment="1">
      <alignment horizontal="left"/>
    </xf>
    <xf numFmtId="3" fontId="36" fillId="0" borderId="227" xfId="569" applyNumberFormat="1" applyFont="1" applyBorder="1"/>
    <xf numFmtId="3" fontId="36" fillId="0" borderId="228" xfId="569" applyNumberFormat="1" applyFont="1" applyBorder="1"/>
    <xf numFmtId="3" fontId="36" fillId="0" borderId="193" xfId="569" applyNumberFormat="1" applyFont="1" applyBorder="1"/>
    <xf numFmtId="3" fontId="36" fillId="0" borderId="80" xfId="569" applyNumberFormat="1" applyFont="1" applyBorder="1"/>
    <xf numFmtId="3" fontId="36" fillId="30" borderId="89" xfId="569" applyNumberFormat="1" applyFont="1" applyFill="1" applyBorder="1"/>
    <xf numFmtId="3" fontId="36" fillId="0" borderId="229" xfId="569" applyNumberFormat="1" applyFont="1" applyBorder="1"/>
    <xf numFmtId="3" fontId="6" fillId="0" borderId="86" xfId="569" applyNumberFormat="1" applyFont="1" applyFill="1" applyBorder="1" applyAlignment="1">
      <alignment horizontal="right"/>
    </xf>
    <xf numFmtId="3" fontId="6" fillId="0" borderId="145" xfId="569" applyNumberFormat="1" applyFont="1" applyFill="1" applyBorder="1" applyAlignment="1">
      <alignment horizontal="right"/>
    </xf>
    <xf numFmtId="3" fontId="89" fillId="0" borderId="206" xfId="569" applyNumberFormat="1" applyFont="1" applyFill="1" applyBorder="1" applyAlignment="1">
      <alignment horizontal="right"/>
    </xf>
    <xf numFmtId="3" fontId="36" fillId="0" borderId="137" xfId="569" applyNumberFormat="1" applyFont="1" applyFill="1" applyBorder="1"/>
    <xf numFmtId="3" fontId="43" fillId="0" borderId="85" xfId="569" applyNumberFormat="1" applyFont="1" applyFill="1" applyBorder="1" applyAlignment="1">
      <alignment horizontal="center" vertical="center"/>
    </xf>
    <xf numFmtId="3" fontId="43" fillId="0" borderId="230" xfId="569" applyNumberFormat="1" applyFont="1" applyFill="1" applyBorder="1" applyAlignment="1">
      <alignment horizontal="center" vertical="center"/>
    </xf>
    <xf numFmtId="3" fontId="36" fillId="0" borderId="227" xfId="569" applyNumberFormat="1" applyFont="1" applyBorder="1" applyAlignment="1">
      <alignment horizontal="left"/>
    </xf>
    <xf numFmtId="3" fontId="36" fillId="0" borderId="228" xfId="569" applyNumberFormat="1" applyFont="1" applyBorder="1" applyAlignment="1">
      <alignment horizontal="left"/>
    </xf>
    <xf numFmtId="3" fontId="36" fillId="0" borderId="228" xfId="569" applyNumberFormat="1" applyFont="1" applyBorder="1" applyAlignment="1">
      <alignment horizontal="right"/>
    </xf>
    <xf numFmtId="3" fontId="36" fillId="0" borderId="64" xfId="569" applyNumberFormat="1" applyFont="1" applyBorder="1"/>
    <xf numFmtId="3" fontId="36" fillId="0" borderId="234" xfId="569" applyNumberFormat="1" applyFont="1" applyBorder="1"/>
    <xf numFmtId="3" fontId="36" fillId="0" borderId="192" xfId="569" applyNumberFormat="1" applyFont="1" applyBorder="1" applyAlignment="1">
      <alignment horizontal="left"/>
    </xf>
    <xf numFmtId="3" fontId="37" fillId="0" borderId="0" xfId="569" applyNumberFormat="1" applyFont="1" applyBorder="1" applyAlignment="1">
      <alignment horizontal="center"/>
    </xf>
    <xf numFmtId="3" fontId="43" fillId="0" borderId="43" xfId="569" applyNumberFormat="1" applyFont="1" applyFill="1" applyBorder="1" applyAlignment="1">
      <alignment horizontal="center" vertical="center"/>
    </xf>
    <xf numFmtId="3" fontId="36" fillId="26" borderId="41" xfId="569" applyNumberFormat="1" applyFont="1" applyFill="1" applyBorder="1"/>
    <xf numFmtId="3" fontId="36" fillId="26" borderId="0" xfId="569" applyNumberFormat="1" applyFont="1" applyFill="1" applyBorder="1"/>
    <xf numFmtId="3" fontId="36" fillId="0" borderId="0" xfId="569" applyNumberFormat="1" applyFont="1" applyBorder="1" applyAlignment="1">
      <alignment horizontal="left"/>
    </xf>
    <xf numFmtId="3" fontId="37" fillId="26" borderId="0" xfId="569" applyNumberFormat="1" applyFont="1" applyFill="1" applyBorder="1" applyAlignment="1">
      <alignment horizontal="right"/>
    </xf>
    <xf numFmtId="3" fontId="35" fillId="15" borderId="201" xfId="569" applyNumberFormat="1" applyFont="1" applyFill="1" applyBorder="1"/>
    <xf numFmtId="3" fontId="97" fillId="0" borderId="21" xfId="569" applyNumberFormat="1" applyFont="1" applyFill="1" applyBorder="1" applyAlignment="1">
      <alignment horizontal="left"/>
    </xf>
    <xf numFmtId="3" fontId="84" fillId="0" borderId="191" xfId="569" applyNumberFormat="1" applyFont="1" applyFill="1" applyBorder="1" applyAlignment="1">
      <alignment horizontal="right"/>
    </xf>
    <xf numFmtId="3" fontId="36" fillId="0" borderId="173" xfId="569" applyNumberFormat="1" applyFont="1" applyFill="1" applyBorder="1" applyAlignment="1">
      <alignment horizontal="right"/>
    </xf>
    <xf numFmtId="0" fontId="25" fillId="0" borderId="235" xfId="0" applyFont="1" applyBorder="1" applyAlignment="1">
      <alignment horizontal="center"/>
    </xf>
    <xf numFmtId="0" fontId="36" fillId="0" borderId="137" xfId="569" applyFont="1" applyBorder="1"/>
    <xf numFmtId="4" fontId="86" fillId="0" borderId="0" xfId="569" applyNumberFormat="1" applyFont="1" applyFill="1" applyBorder="1"/>
    <xf numFmtId="3" fontId="36" fillId="0" borderId="236" xfId="569" applyNumberFormat="1" applyFont="1" applyBorder="1"/>
    <xf numFmtId="3" fontId="36" fillId="0" borderId="140" xfId="569" applyNumberFormat="1" applyFont="1" applyBorder="1"/>
    <xf numFmtId="3" fontId="36" fillId="0" borderId="182" xfId="569" applyNumberFormat="1" applyFont="1" applyBorder="1"/>
    <xf numFmtId="3" fontId="36" fillId="0" borderId="22" xfId="569" applyNumberFormat="1" applyFont="1" applyBorder="1"/>
    <xf numFmtId="3" fontId="36" fillId="0" borderId="237" xfId="569" applyNumberFormat="1" applyFont="1" applyBorder="1"/>
    <xf numFmtId="3" fontId="36" fillId="4" borderId="238" xfId="569" applyNumberFormat="1" applyFont="1" applyFill="1" applyBorder="1"/>
    <xf numFmtId="3" fontId="36" fillId="4" borderId="31" xfId="569" applyNumberFormat="1" applyFont="1" applyFill="1" applyBorder="1"/>
    <xf numFmtId="3" fontId="36" fillId="4" borderId="38" xfId="569" applyNumberFormat="1" applyFont="1" applyFill="1" applyBorder="1"/>
    <xf numFmtId="3" fontId="36" fillId="4" borderId="239" xfId="569" applyNumberFormat="1" applyFont="1" applyFill="1" applyBorder="1"/>
    <xf numFmtId="3" fontId="36" fillId="4" borderId="33" xfId="569" applyNumberFormat="1" applyFont="1" applyFill="1" applyBorder="1" applyAlignment="1">
      <alignment horizontal="right"/>
    </xf>
    <xf numFmtId="3" fontId="36" fillId="0" borderId="139" xfId="569" applyNumberFormat="1" applyFont="1" applyBorder="1"/>
    <xf numFmtId="3" fontId="36" fillId="0" borderId="30" xfId="569" applyNumberFormat="1" applyFont="1" applyBorder="1"/>
    <xf numFmtId="3" fontId="36" fillId="0" borderId="73" xfId="569" applyNumberFormat="1" applyFont="1" applyBorder="1"/>
    <xf numFmtId="3" fontId="36" fillId="0" borderId="240" xfId="569" applyNumberFormat="1" applyFont="1" applyBorder="1"/>
    <xf numFmtId="3" fontId="36" fillId="0" borderId="14" xfId="569" applyNumberFormat="1" applyFont="1" applyBorder="1" applyAlignment="1">
      <alignment horizontal="right"/>
    </xf>
    <xf numFmtId="3" fontId="36" fillId="0" borderId="15" xfId="569" applyNumberFormat="1" applyFont="1" applyBorder="1" applyAlignment="1">
      <alignment horizontal="right"/>
    </xf>
    <xf numFmtId="3" fontId="36" fillId="4" borderId="241" xfId="569" applyNumberFormat="1" applyFont="1" applyFill="1" applyBorder="1"/>
    <xf numFmtId="3" fontId="36" fillId="4" borderId="39" xfId="569" applyNumberFormat="1" applyFont="1" applyFill="1" applyBorder="1"/>
    <xf numFmtId="3" fontId="36" fillId="4" borderId="36" xfId="569" applyNumberFormat="1" applyFont="1" applyFill="1" applyBorder="1"/>
    <xf numFmtId="3" fontId="36" fillId="4" borderId="242" xfId="569" applyNumberFormat="1" applyFont="1" applyFill="1" applyBorder="1"/>
    <xf numFmtId="3" fontId="36" fillId="0" borderId="137" xfId="569" applyNumberFormat="1" applyFont="1" applyBorder="1" applyAlignment="1">
      <alignment horizontal="right"/>
    </xf>
    <xf numFmtId="3" fontId="36" fillId="0" borderId="131" xfId="569" applyNumberFormat="1" applyFont="1" applyBorder="1"/>
    <xf numFmtId="3" fontId="36" fillId="0" borderId="122" xfId="569" applyNumberFormat="1" applyFont="1" applyBorder="1"/>
    <xf numFmtId="3" fontId="36" fillId="0" borderId="243" xfId="569" applyNumberFormat="1" applyFont="1" applyBorder="1"/>
    <xf numFmtId="3" fontId="36" fillId="0" borderId="171" xfId="569" applyNumberFormat="1" applyFont="1" applyBorder="1"/>
    <xf numFmtId="3" fontId="36" fillId="0" borderId="209" xfId="569" applyNumberFormat="1" applyFont="1" applyBorder="1"/>
    <xf numFmtId="3" fontId="36" fillId="0" borderId="199" xfId="569" applyNumberFormat="1" applyFont="1" applyBorder="1"/>
    <xf numFmtId="3" fontId="36" fillId="30" borderId="244" xfId="569" applyNumberFormat="1" applyFont="1" applyFill="1" applyBorder="1"/>
    <xf numFmtId="3" fontId="36" fillId="0" borderId="245" xfId="569" applyNumberFormat="1" applyFont="1" applyBorder="1"/>
    <xf numFmtId="3" fontId="37" fillId="3" borderId="246" xfId="569" applyNumberFormat="1" applyFont="1" applyFill="1" applyBorder="1"/>
    <xf numFmtId="3" fontId="86" fillId="3" borderId="247" xfId="569" applyNumberFormat="1" applyFont="1" applyFill="1" applyBorder="1"/>
    <xf numFmtId="3" fontId="86" fillId="3" borderId="36" xfId="569" applyNumberFormat="1" applyFont="1" applyFill="1" applyBorder="1"/>
    <xf numFmtId="3" fontId="37" fillId="3" borderId="247" xfId="569" applyNumberFormat="1" applyFont="1" applyFill="1" applyBorder="1" applyAlignment="1">
      <alignment horizontal="right"/>
    </xf>
    <xf numFmtId="3" fontId="37" fillId="3" borderId="58" xfId="569" applyNumberFormat="1" applyFont="1" applyFill="1" applyBorder="1" applyAlignment="1">
      <alignment horizontal="right"/>
    </xf>
    <xf numFmtId="3" fontId="37" fillId="3" borderId="60" xfId="569" applyNumberFormat="1" applyFont="1" applyFill="1" applyBorder="1" applyAlignment="1">
      <alignment horizontal="right"/>
    </xf>
    <xf numFmtId="3" fontId="36" fillId="0" borderId="117" xfId="569" applyNumberFormat="1" applyFont="1" applyBorder="1" applyAlignment="1">
      <alignment horizontal="right"/>
    </xf>
    <xf numFmtId="3" fontId="36" fillId="0" borderId="84" xfId="569" applyNumberFormat="1" applyFont="1" applyBorder="1" applyAlignment="1">
      <alignment horizontal="right"/>
    </xf>
    <xf numFmtId="3" fontId="36" fillId="0" borderId="149" xfId="569" applyNumberFormat="1" applyFont="1" applyBorder="1"/>
    <xf numFmtId="3" fontId="107" fillId="0" borderId="217" xfId="569" applyNumberFormat="1" applyFont="1" applyFill="1" applyBorder="1"/>
    <xf numFmtId="3" fontId="36" fillId="0" borderId="227" xfId="569" applyNumberFormat="1" applyFont="1" applyBorder="1" applyAlignment="1">
      <alignment horizontal="right"/>
    </xf>
    <xf numFmtId="3" fontId="50" fillId="27" borderId="83" xfId="0" applyNumberFormat="1" applyFont="1" applyFill="1" applyBorder="1"/>
    <xf numFmtId="3" fontId="50" fillId="7" borderId="43" xfId="0" applyNumberFormat="1" applyFont="1" applyFill="1" applyBorder="1" applyAlignment="1"/>
    <xf numFmtId="49" fontId="100" fillId="0" borderId="0" xfId="0" applyNumberFormat="1" applyFont="1" applyBorder="1" applyAlignment="1">
      <alignment horizontal="center"/>
    </xf>
    <xf numFmtId="3" fontId="100" fillId="0" borderId="0" xfId="0" applyNumberFormat="1" applyFont="1" applyBorder="1" applyAlignment="1">
      <alignment horizontal="right"/>
    </xf>
    <xf numFmtId="3" fontId="100" fillId="0" borderId="0" xfId="0" applyNumberFormat="1" applyFont="1" applyBorder="1"/>
    <xf numFmtId="0" fontId="100" fillId="0" borderId="117" xfId="0" applyFont="1" applyBorder="1"/>
    <xf numFmtId="0" fontId="100" fillId="0" borderId="248" xfId="0" applyFont="1" applyBorder="1"/>
    <xf numFmtId="3" fontId="100" fillId="0" borderId="243" xfId="0" applyNumberFormat="1" applyFont="1" applyBorder="1" applyAlignment="1">
      <alignment horizontal="right"/>
    </xf>
    <xf numFmtId="49" fontId="100" fillId="0" borderId="249" xfId="0" applyNumberFormat="1" applyFont="1" applyBorder="1" applyAlignment="1">
      <alignment horizontal="center"/>
    </xf>
    <xf numFmtId="0" fontId="27" fillId="0" borderId="116" xfId="0" applyFont="1" applyBorder="1"/>
    <xf numFmtId="0" fontId="27" fillId="0" borderId="250" xfId="0" applyFont="1" applyBorder="1"/>
    <xf numFmtId="3" fontId="100" fillId="0" borderId="127" xfId="0" applyNumberFormat="1" applyFont="1" applyBorder="1"/>
    <xf numFmtId="49" fontId="101" fillId="0" borderId="0" xfId="0" applyNumberFormat="1" applyFont="1" applyFill="1" applyBorder="1" applyAlignment="1">
      <alignment horizontal="left"/>
    </xf>
    <xf numFmtId="3" fontId="99" fillId="0" borderId="0" xfId="0" applyNumberFormat="1" applyFont="1" applyFill="1" applyBorder="1" applyAlignment="1">
      <alignment horizontal="right"/>
    </xf>
    <xf numFmtId="3" fontId="99" fillId="0" borderId="0" xfId="0" applyNumberFormat="1" applyFont="1" applyFill="1" applyBorder="1"/>
    <xf numFmtId="3" fontId="50" fillId="10" borderId="86" xfId="0" applyNumberFormat="1" applyFont="1" applyFill="1" applyBorder="1" applyAlignment="1"/>
    <xf numFmtId="3" fontId="50" fillId="10" borderId="50" xfId="0" applyNumberFormat="1" applyFont="1" applyFill="1" applyBorder="1" applyAlignment="1"/>
    <xf numFmtId="3" fontId="50" fillId="29" borderId="86" xfId="0" applyNumberFormat="1" applyFont="1" applyFill="1" applyBorder="1" applyAlignment="1"/>
    <xf numFmtId="3" fontId="50" fillId="29" borderId="134" xfId="0" applyNumberFormat="1" applyFont="1" applyFill="1" applyBorder="1" applyAlignment="1"/>
    <xf numFmtId="3" fontId="50" fillId="7" borderId="251" xfId="0" applyNumberFormat="1" applyFont="1" applyFill="1" applyBorder="1" applyAlignment="1"/>
    <xf numFmtId="3" fontId="50" fillId="7" borderId="49" xfId="0" applyNumberFormat="1" applyFont="1" applyFill="1" applyBorder="1" applyAlignment="1"/>
    <xf numFmtId="3" fontId="36" fillId="0" borderId="64" xfId="569" applyNumberFormat="1" applyFont="1" applyFill="1" applyBorder="1" applyAlignment="1">
      <alignment horizontal="left"/>
    </xf>
    <xf numFmtId="0" fontId="36" fillId="0" borderId="172" xfId="569" applyFont="1" applyFill="1" applyBorder="1"/>
    <xf numFmtId="3" fontId="36" fillId="0" borderId="99" xfId="569" applyNumberFormat="1" applyFont="1" applyFill="1" applyBorder="1"/>
    <xf numFmtId="3" fontId="36" fillId="0" borderId="99" xfId="569" applyNumberFormat="1" applyFont="1" applyFill="1" applyBorder="1" applyAlignment="1">
      <alignment horizontal="right"/>
    </xf>
    <xf numFmtId="3" fontId="37" fillId="0" borderId="99" xfId="569" applyNumberFormat="1" applyFont="1" applyFill="1" applyBorder="1"/>
    <xf numFmtId="3" fontId="6" fillId="0" borderId="137" xfId="569" applyNumberFormat="1" applyFont="1" applyBorder="1"/>
    <xf numFmtId="3" fontId="36" fillId="0" borderId="91" xfId="569" applyNumberFormat="1" applyFont="1" applyBorder="1"/>
    <xf numFmtId="3" fontId="6" fillId="0" borderId="91" xfId="569" applyNumberFormat="1" applyFont="1" applyBorder="1"/>
    <xf numFmtId="3" fontId="36" fillId="0" borderId="110" xfId="569" applyNumberFormat="1" applyFont="1" applyBorder="1"/>
    <xf numFmtId="3" fontId="37" fillId="4" borderId="137" xfId="569" applyNumberFormat="1" applyFont="1" applyFill="1" applyBorder="1"/>
    <xf numFmtId="4" fontId="36" fillId="0" borderId="137" xfId="569" applyNumberFormat="1" applyFont="1" applyBorder="1"/>
    <xf numFmtId="3" fontId="35" fillId="38" borderId="137" xfId="569" applyNumberFormat="1" applyFont="1" applyFill="1" applyBorder="1"/>
    <xf numFmtId="3" fontId="84" fillId="0" borderId="137" xfId="569" applyNumberFormat="1" applyFont="1" applyFill="1" applyBorder="1"/>
    <xf numFmtId="3" fontId="37" fillId="4" borderId="110" xfId="569" applyNumberFormat="1" applyFont="1" applyFill="1" applyBorder="1"/>
    <xf numFmtId="3" fontId="36" fillId="0" borderId="110" xfId="569" applyNumberFormat="1" applyFont="1" applyFill="1" applyBorder="1"/>
    <xf numFmtId="3" fontId="6" fillId="0" borderId="110" xfId="569" applyNumberFormat="1" applyFont="1" applyBorder="1"/>
    <xf numFmtId="4" fontId="36" fillId="0" borderId="110" xfId="569" applyNumberFormat="1" applyFont="1" applyBorder="1"/>
    <xf numFmtId="3" fontId="43" fillId="0" borderId="110" xfId="569" applyNumberFormat="1" applyFont="1" applyFill="1" applyBorder="1" applyAlignment="1">
      <alignment horizontal="center" vertical="center"/>
    </xf>
    <xf numFmtId="3" fontId="35" fillId="38" borderId="110" xfId="569" applyNumberFormat="1" applyFont="1" applyFill="1" applyBorder="1"/>
    <xf numFmtId="3" fontId="84" fillId="0" borderId="110" xfId="569" applyNumberFormat="1" applyFont="1" applyFill="1" applyBorder="1"/>
    <xf numFmtId="3" fontId="89" fillId="0" borderId="137" xfId="569" applyNumberFormat="1" applyFont="1" applyBorder="1"/>
    <xf numFmtId="3" fontId="31" fillId="0" borderId="137" xfId="569" applyNumberFormat="1" applyFont="1" applyFill="1" applyBorder="1" applyAlignment="1">
      <alignment horizontal="center"/>
    </xf>
    <xf numFmtId="0" fontId="35" fillId="4" borderId="137" xfId="569" applyFont="1" applyFill="1" applyBorder="1"/>
    <xf numFmtId="0" fontId="67" fillId="0" borderId="137" xfId="569" applyFont="1" applyFill="1" applyBorder="1"/>
    <xf numFmtId="0" fontId="37" fillId="4" borderId="137" xfId="569" applyFont="1" applyFill="1" applyBorder="1"/>
    <xf numFmtId="0" fontId="89" fillId="0" borderId="137" xfId="569" applyFont="1" applyBorder="1"/>
    <xf numFmtId="0" fontId="90" fillId="0" borderId="137" xfId="569" applyFont="1" applyBorder="1"/>
    <xf numFmtId="0" fontId="43" fillId="0" borderId="137" xfId="569" applyFont="1" applyFill="1" applyBorder="1" applyAlignment="1">
      <alignment vertical="top"/>
    </xf>
    <xf numFmtId="0" fontId="80" fillId="0" borderId="137" xfId="569" applyFont="1" applyFill="1" applyBorder="1" applyAlignment="1">
      <alignment horizontal="center"/>
    </xf>
    <xf numFmtId="0" fontId="33" fillId="0" borderId="137" xfId="569" applyFont="1" applyBorder="1"/>
    <xf numFmtId="0" fontId="67" fillId="0" borderId="137" xfId="569" applyFont="1" applyBorder="1"/>
    <xf numFmtId="0" fontId="35" fillId="38" borderId="137" xfId="569" applyFont="1" applyFill="1" applyBorder="1"/>
    <xf numFmtId="0" fontId="84" fillId="0" borderId="137" xfId="569" applyFont="1" applyFill="1" applyBorder="1"/>
    <xf numFmtId="3" fontId="37" fillId="4" borderId="91" xfId="569" applyNumberFormat="1" applyFont="1" applyFill="1" applyBorder="1"/>
    <xf numFmtId="3" fontId="36" fillId="0" borderId="91" xfId="569" applyNumberFormat="1" applyFont="1" applyBorder="1" applyAlignment="1">
      <alignment horizontal="right"/>
    </xf>
    <xf numFmtId="3" fontId="67" fillId="0" borderId="91" xfId="569" applyNumberFormat="1" applyFont="1" applyBorder="1" applyAlignment="1">
      <alignment horizontal="left"/>
    </xf>
    <xf numFmtId="3" fontId="89" fillId="0" borderId="91" xfId="569" applyNumberFormat="1" applyFont="1" applyBorder="1"/>
    <xf numFmtId="4" fontId="36" fillId="0" borderId="91" xfId="569" applyNumberFormat="1" applyFont="1" applyBorder="1"/>
    <xf numFmtId="3" fontId="90" fillId="0" borderId="91" xfId="569" applyNumberFormat="1" applyFont="1" applyBorder="1"/>
    <xf numFmtId="3" fontId="31" fillId="0" borderId="91" xfId="569" applyNumberFormat="1" applyFont="1" applyFill="1" applyBorder="1" applyAlignment="1">
      <alignment horizontal="center" vertical="center"/>
    </xf>
    <xf numFmtId="3" fontId="35" fillId="38" borderId="91" xfId="569" applyNumberFormat="1" applyFont="1" applyFill="1" applyBorder="1"/>
    <xf numFmtId="3" fontId="84" fillId="0" borderId="91" xfId="569" applyNumberFormat="1" applyFont="1" applyFill="1" applyBorder="1"/>
    <xf numFmtId="3" fontId="6" fillId="0" borderId="89" xfId="569" applyNumberFormat="1" applyFont="1" applyBorder="1"/>
    <xf numFmtId="0" fontId="35" fillId="4" borderId="127" xfId="569" applyFont="1" applyFill="1" applyBorder="1"/>
    <xf numFmtId="3" fontId="37" fillId="4" borderId="203" xfId="569" applyNumberFormat="1" applyFont="1" applyFill="1" applyBorder="1"/>
    <xf numFmtId="0" fontId="36" fillId="0" borderId="127" xfId="569" applyFont="1" applyFill="1" applyBorder="1"/>
    <xf numFmtId="3" fontId="36" fillId="0" borderId="203" xfId="569" applyNumberFormat="1" applyFont="1" applyBorder="1" applyAlignment="1">
      <alignment horizontal="right"/>
    </xf>
    <xf numFmtId="3" fontId="36" fillId="0" borderId="203" xfId="569" applyNumberFormat="1" applyFont="1" applyBorder="1"/>
    <xf numFmtId="14" fontId="35" fillId="4" borderId="127" xfId="569" applyNumberFormat="1" applyFont="1" applyFill="1" applyBorder="1"/>
    <xf numFmtId="0" fontId="67" fillId="0" borderId="127" xfId="569" applyFont="1" applyFill="1" applyBorder="1"/>
    <xf numFmtId="3" fontId="67" fillId="0" borderId="203" xfId="569" applyNumberFormat="1" applyFont="1" applyBorder="1" applyAlignment="1">
      <alignment horizontal="left"/>
    </xf>
    <xf numFmtId="0" fontId="36" fillId="0" borderId="127" xfId="569" applyFont="1" applyBorder="1"/>
    <xf numFmtId="3" fontId="6" fillId="0" borderId="203" xfId="569" applyNumberFormat="1" applyFont="1" applyBorder="1"/>
    <xf numFmtId="49" fontId="35" fillId="4" borderId="127" xfId="569" applyNumberFormat="1" applyFont="1" applyFill="1" applyBorder="1"/>
    <xf numFmtId="0" fontId="37" fillId="4" borderId="127" xfId="569" applyFont="1" applyFill="1" applyBorder="1"/>
    <xf numFmtId="0" fontId="89" fillId="0" borderId="127" xfId="569" applyFont="1" applyBorder="1"/>
    <xf numFmtId="4" fontId="36" fillId="0" borderId="203" xfId="569" applyNumberFormat="1" applyFont="1" applyBorder="1"/>
    <xf numFmtId="0" fontId="90" fillId="0" borderId="127" xfId="569" applyFont="1" applyBorder="1"/>
    <xf numFmtId="3" fontId="84" fillId="0" borderId="203" xfId="569" applyNumberFormat="1" applyFont="1" applyBorder="1"/>
    <xf numFmtId="0" fontId="43" fillId="0" borderId="127" xfId="569" applyFont="1" applyFill="1" applyBorder="1"/>
    <xf numFmtId="3" fontId="43" fillId="0" borderId="203" xfId="569" applyNumberFormat="1" applyFont="1" applyFill="1" applyBorder="1" applyAlignment="1">
      <alignment horizontal="center" vertical="center"/>
    </xf>
    <xf numFmtId="0" fontId="67" fillId="0" borderId="127" xfId="569" applyFont="1" applyBorder="1"/>
    <xf numFmtId="0" fontId="35" fillId="38" borderId="127" xfId="569" applyFont="1" applyFill="1" applyBorder="1"/>
    <xf numFmtId="3" fontId="35" fillId="38" borderId="203" xfId="569" applyNumberFormat="1" applyFont="1" applyFill="1" applyBorder="1"/>
    <xf numFmtId="0" fontId="84" fillId="0" borderId="127" xfId="569" applyFont="1" applyFill="1" applyBorder="1"/>
    <xf numFmtId="3" fontId="84" fillId="0" borderId="203" xfId="569" applyNumberFormat="1" applyFont="1" applyFill="1" applyBorder="1"/>
    <xf numFmtId="0" fontId="36" fillId="0" borderId="253" xfId="569" applyFont="1" applyBorder="1"/>
    <xf numFmtId="0" fontId="36" fillId="0" borderId="200" xfId="569" applyFont="1" applyBorder="1"/>
    <xf numFmtId="3" fontId="36" fillId="0" borderId="204" xfId="569" applyNumberFormat="1" applyFont="1" applyBorder="1"/>
    <xf numFmtId="3" fontId="36" fillId="0" borderId="206" xfId="569" applyNumberFormat="1" applyFont="1" applyBorder="1"/>
    <xf numFmtId="0" fontId="35" fillId="4" borderId="254" xfId="569" applyFont="1" applyFill="1" applyBorder="1"/>
    <xf numFmtId="0" fontId="35" fillId="4" borderId="255" xfId="569" applyFont="1" applyFill="1" applyBorder="1"/>
    <xf numFmtId="3" fontId="37" fillId="4" borderId="112" xfId="569" applyNumberFormat="1" applyFont="1" applyFill="1" applyBorder="1"/>
    <xf numFmtId="3" fontId="37" fillId="4" borderId="255" xfId="569" applyNumberFormat="1" applyFont="1" applyFill="1" applyBorder="1"/>
    <xf numFmtId="3" fontId="37" fillId="4" borderId="111" xfId="569" applyNumberFormat="1" applyFont="1" applyFill="1" applyBorder="1"/>
    <xf numFmtId="3" fontId="37" fillId="4" borderId="256" xfId="569" applyNumberFormat="1" applyFont="1" applyFill="1" applyBorder="1"/>
    <xf numFmtId="0" fontId="43" fillId="7" borderId="257" xfId="569" applyFont="1" applyFill="1" applyBorder="1"/>
    <xf numFmtId="0" fontId="43" fillId="7" borderId="210" xfId="569" applyFont="1" applyFill="1" applyBorder="1" applyAlignment="1">
      <alignment vertical="top"/>
    </xf>
    <xf numFmtId="0" fontId="80" fillId="7" borderId="210" xfId="569" applyFont="1" applyFill="1" applyBorder="1" applyAlignment="1">
      <alignment horizontal="center"/>
    </xf>
    <xf numFmtId="3" fontId="36" fillId="0" borderId="89" xfId="569" applyNumberFormat="1" applyFont="1" applyBorder="1"/>
    <xf numFmtId="3" fontId="37" fillId="4" borderId="89" xfId="569" applyNumberFormat="1" applyFont="1" applyFill="1" applyBorder="1"/>
    <xf numFmtId="4" fontId="36" fillId="0" borderId="89" xfId="569" applyNumberFormat="1" applyFont="1" applyBorder="1"/>
    <xf numFmtId="3" fontId="43" fillId="0" borderId="89" xfId="569" applyNumberFormat="1" applyFont="1" applyFill="1" applyBorder="1" applyAlignment="1">
      <alignment horizontal="center" vertical="center"/>
    </xf>
    <xf numFmtId="3" fontId="35" fillId="38" borderId="89" xfId="569" applyNumberFormat="1" applyFont="1" applyFill="1" applyBorder="1"/>
    <xf numFmtId="3" fontId="36" fillId="0" borderId="64" xfId="569" applyNumberFormat="1" applyFont="1" applyFill="1" applyBorder="1" applyAlignment="1">
      <alignment horizontal="right"/>
    </xf>
    <xf numFmtId="3" fontId="36" fillId="0" borderId="17" xfId="569" applyNumberFormat="1" applyFont="1" applyFill="1" applyBorder="1" applyAlignment="1">
      <alignment horizontal="right"/>
    </xf>
    <xf numFmtId="3" fontId="36" fillId="0" borderId="21" xfId="569" applyNumberFormat="1" applyFont="1" applyFill="1" applyBorder="1" applyAlignment="1">
      <alignment horizontal="right"/>
    </xf>
    <xf numFmtId="3" fontId="36" fillId="0" borderId="233" xfId="569" applyNumberFormat="1" applyFont="1" applyFill="1" applyBorder="1" applyAlignment="1">
      <alignment horizontal="right"/>
    </xf>
    <xf numFmtId="3" fontId="104" fillId="31" borderId="160" xfId="0" applyNumberFormat="1" applyFont="1" applyFill="1" applyBorder="1"/>
    <xf numFmtId="3" fontId="29" fillId="39" borderId="89" xfId="0" applyNumberFormat="1" applyFont="1" applyFill="1" applyBorder="1" applyAlignment="1">
      <alignment horizontal="center" vertical="center" wrapText="1"/>
    </xf>
    <xf numFmtId="3" fontId="29" fillId="39" borderId="89" xfId="0" applyNumberFormat="1" applyFont="1" applyFill="1" applyBorder="1" applyAlignment="1">
      <alignment horizontal="center" vertical="center"/>
    </xf>
    <xf numFmtId="3" fontId="29" fillId="39" borderId="162" xfId="0" applyNumberFormat="1" applyFont="1" applyFill="1" applyBorder="1" applyAlignment="1">
      <alignment horizontal="center" vertical="center"/>
    </xf>
    <xf numFmtId="3" fontId="29" fillId="39" borderId="89" xfId="0" applyNumberFormat="1" applyFont="1" applyFill="1" applyBorder="1" applyAlignment="1">
      <alignment vertical="center"/>
    </xf>
    <xf numFmtId="3" fontId="29" fillId="39" borderId="214" xfId="0" applyNumberFormat="1" applyFont="1" applyFill="1" applyBorder="1" applyAlignment="1">
      <alignment vertical="center" wrapText="1"/>
    </xf>
    <xf numFmtId="3" fontId="29" fillId="39" borderId="89" xfId="0" applyNumberFormat="1" applyFont="1" applyFill="1" applyBorder="1"/>
    <xf numFmtId="3" fontId="29" fillId="39" borderId="214" xfId="0" applyNumberFormat="1" applyFont="1" applyFill="1" applyBorder="1"/>
    <xf numFmtId="3" fontId="29" fillId="39" borderId="90" xfId="0" applyNumberFormat="1" applyFont="1" applyFill="1" applyBorder="1" applyAlignment="1">
      <alignment vertical="center"/>
    </xf>
    <xf numFmtId="3" fontId="100" fillId="39" borderId="89" xfId="0" applyNumberFormat="1" applyFont="1" applyFill="1" applyBorder="1"/>
    <xf numFmtId="3" fontId="100" fillId="39" borderId="162" xfId="0" applyNumberFormat="1" applyFont="1" applyFill="1" applyBorder="1"/>
    <xf numFmtId="3" fontId="100" fillId="39" borderId="108" xfId="0" applyNumberFormat="1" applyFont="1" applyFill="1" applyBorder="1"/>
    <xf numFmtId="3" fontId="44" fillId="39" borderId="89" xfId="0" applyNumberFormat="1" applyFont="1" applyFill="1" applyBorder="1"/>
    <xf numFmtId="0" fontId="36" fillId="0" borderId="34" xfId="569" applyFont="1" applyBorder="1" applyAlignment="1">
      <alignment horizontal="left"/>
    </xf>
    <xf numFmtId="0" fontId="36" fillId="0" borderId="137" xfId="569" applyFont="1" applyBorder="1" applyAlignment="1">
      <alignment horizontal="left"/>
    </xf>
    <xf numFmtId="4" fontId="86" fillId="0" borderId="19" xfId="569" applyNumberFormat="1" applyFont="1" applyBorder="1"/>
    <xf numFmtId="3" fontId="86" fillId="0" borderId="19" xfId="569" applyNumberFormat="1" applyFont="1" applyBorder="1"/>
    <xf numFmtId="3" fontId="86" fillId="0" borderId="56" xfId="569" applyNumberFormat="1" applyFont="1" applyBorder="1"/>
    <xf numFmtId="0" fontId="85" fillId="0" borderId="0" xfId="569" applyFont="1" applyBorder="1"/>
    <xf numFmtId="3" fontId="37" fillId="3" borderId="90" xfId="569" applyNumberFormat="1" applyFont="1" applyFill="1" applyBorder="1"/>
    <xf numFmtId="3" fontId="31" fillId="7" borderId="252" xfId="569" applyNumberFormat="1" applyFont="1" applyFill="1" applyBorder="1" applyAlignment="1">
      <alignment horizontal="center" vertical="center"/>
    </xf>
    <xf numFmtId="0" fontId="36" fillId="0" borderId="95" xfId="569" applyFont="1" applyBorder="1" applyAlignment="1">
      <alignment horizontal="left"/>
    </xf>
    <xf numFmtId="0" fontId="36" fillId="0" borderId="96" xfId="569" applyFont="1" applyBorder="1" applyAlignment="1">
      <alignment horizontal="left"/>
    </xf>
    <xf numFmtId="0" fontId="36" fillId="0" borderId="127" xfId="569" applyFont="1" applyBorder="1" applyAlignment="1">
      <alignment horizontal="left"/>
    </xf>
    <xf numFmtId="0" fontId="31" fillId="3" borderId="170" xfId="569" applyFont="1" applyFill="1" applyBorder="1"/>
    <xf numFmtId="0" fontId="6" fillId="3" borderId="99" xfId="569" applyFont="1" applyFill="1" applyBorder="1"/>
    <xf numFmtId="0" fontId="31" fillId="3" borderId="259" xfId="569" applyFont="1" applyFill="1" applyBorder="1"/>
    <xf numFmtId="4" fontId="37" fillId="3" borderId="244" xfId="569" applyNumberFormat="1" applyFont="1" applyFill="1" applyBorder="1"/>
    <xf numFmtId="3" fontId="37" fillId="3" borderId="244" xfId="569" applyNumberFormat="1" applyFont="1" applyFill="1" applyBorder="1"/>
    <xf numFmtId="3" fontId="37" fillId="3" borderId="260" xfId="569" applyNumberFormat="1" applyFont="1" applyFill="1" applyBorder="1"/>
    <xf numFmtId="3" fontId="37" fillId="3" borderId="99" xfId="569" applyNumberFormat="1" applyFont="1" applyFill="1" applyBorder="1" applyAlignment="1">
      <alignment horizontal="right"/>
    </xf>
    <xf numFmtId="0" fontId="37" fillId="0" borderId="95" xfId="569" applyFont="1" applyFill="1" applyBorder="1" applyAlignment="1">
      <alignment horizontal="right"/>
    </xf>
    <xf numFmtId="0" fontId="84" fillId="0" borderId="179" xfId="569" applyFont="1" applyFill="1" applyBorder="1" applyAlignment="1">
      <alignment horizontal="left"/>
    </xf>
    <xf numFmtId="0" fontId="84" fillId="0" borderId="179" xfId="569" applyFont="1" applyFill="1" applyBorder="1"/>
    <xf numFmtId="3" fontId="36" fillId="0" borderId="137" xfId="569" applyNumberFormat="1" applyFont="1" applyFill="1" applyBorder="1" applyAlignment="1">
      <alignment horizontal="right"/>
    </xf>
    <xf numFmtId="3" fontId="97" fillId="0" borderId="137" xfId="569" applyNumberFormat="1" applyFont="1" applyFill="1" applyBorder="1" applyAlignment="1">
      <alignment horizontal="left"/>
    </xf>
    <xf numFmtId="3" fontId="84" fillId="0" borderId="137" xfId="569" applyNumberFormat="1" applyFont="1" applyFill="1" applyBorder="1" applyAlignment="1">
      <alignment horizontal="right"/>
    </xf>
    <xf numFmtId="3" fontId="36" fillId="0" borderId="137" xfId="569" applyNumberFormat="1" applyFont="1" applyFill="1" applyBorder="1" applyAlignment="1">
      <alignment horizontal="left"/>
    </xf>
    <xf numFmtId="3" fontId="36" fillId="0" borderId="201" xfId="569" applyNumberFormat="1" applyFont="1" applyFill="1" applyBorder="1" applyAlignment="1">
      <alignment horizontal="right"/>
    </xf>
    <xf numFmtId="3" fontId="36" fillId="0" borderId="255" xfId="569" applyNumberFormat="1" applyFont="1" applyFill="1" applyBorder="1"/>
    <xf numFmtId="3" fontId="35" fillId="15" borderId="201" xfId="569" applyNumberFormat="1" applyFont="1" applyFill="1" applyBorder="1" applyAlignment="1">
      <alignment horizontal="right"/>
    </xf>
    <xf numFmtId="0" fontId="36" fillId="0" borderId="195" xfId="569" applyFont="1" applyFill="1" applyBorder="1"/>
    <xf numFmtId="0" fontId="36" fillId="0" borderId="137" xfId="569" applyFont="1" applyFill="1" applyBorder="1" applyAlignment="1">
      <alignment horizontal="right"/>
    </xf>
    <xf numFmtId="0" fontId="84" fillId="0" borderId="137" xfId="569" applyFont="1" applyBorder="1"/>
    <xf numFmtId="0" fontId="84" fillId="0" borderId="137" xfId="569" applyFont="1" applyFill="1" applyBorder="1" applyAlignment="1">
      <alignment horizontal="left"/>
    </xf>
    <xf numFmtId="0" fontId="71" fillId="0" borderId="110" xfId="569" applyFont="1" applyFill="1" applyBorder="1"/>
    <xf numFmtId="0" fontId="74" fillId="0" borderId="110" xfId="569" applyFont="1" applyFill="1" applyBorder="1"/>
    <xf numFmtId="165" fontId="36" fillId="0" borderId="64" xfId="410" applyFont="1" applyFill="1" applyBorder="1" applyAlignment="1" applyProtection="1">
      <alignment horizontal="left"/>
    </xf>
    <xf numFmtId="0" fontId="108" fillId="0" borderId="17" xfId="569" applyFont="1" applyFill="1" applyBorder="1" applyAlignment="1">
      <alignment horizontal="right"/>
    </xf>
    <xf numFmtId="0" fontId="108" fillId="0" borderId="179" xfId="569" applyFont="1" applyFill="1" applyBorder="1" applyAlignment="1">
      <alignment horizontal="left"/>
    </xf>
    <xf numFmtId="0" fontId="108" fillId="0" borderId="179" xfId="569" applyFont="1" applyBorder="1"/>
    <xf numFmtId="3" fontId="108" fillId="0" borderId="137" xfId="569" applyNumberFormat="1" applyFont="1" applyBorder="1"/>
    <xf numFmtId="3" fontId="108" fillId="0" borderId="137" xfId="569" applyNumberFormat="1" applyFont="1" applyFill="1" applyBorder="1"/>
    <xf numFmtId="3" fontId="108" fillId="0" borderId="17" xfId="569" applyNumberFormat="1" applyFont="1" applyBorder="1"/>
    <xf numFmtId="3" fontId="108" fillId="0" borderId="34" xfId="569" applyNumberFormat="1" applyFont="1" applyBorder="1"/>
    <xf numFmtId="0" fontId="108" fillId="0" borderId="21" xfId="569" applyFont="1" applyFill="1" applyBorder="1" applyAlignment="1">
      <alignment horizontal="right"/>
    </xf>
    <xf numFmtId="0" fontId="108" fillId="0" borderId="180" xfId="569" applyFont="1" applyFill="1" applyBorder="1"/>
    <xf numFmtId="3" fontId="108" fillId="0" borderId="34" xfId="569" applyNumberFormat="1" applyFont="1" applyBorder="1" applyAlignment="1">
      <alignment horizontal="right"/>
    </xf>
    <xf numFmtId="0" fontId="108" fillId="0" borderId="0" xfId="569" applyFont="1" applyFill="1" applyBorder="1" applyAlignment="1">
      <alignment horizontal="right"/>
    </xf>
    <xf numFmtId="0" fontId="36" fillId="0" borderId="255" xfId="569" applyFont="1" applyFill="1" applyBorder="1" applyAlignment="1">
      <alignment horizontal="right"/>
    </xf>
    <xf numFmtId="3" fontId="108" fillId="0" borderId="227" xfId="569" applyNumberFormat="1" applyFont="1" applyBorder="1"/>
    <xf numFmtId="3" fontId="108" fillId="0" borderId="227" xfId="569" applyNumberFormat="1" applyFont="1" applyBorder="1" applyAlignment="1">
      <alignment horizontal="right"/>
    </xf>
    <xf numFmtId="3" fontId="36" fillId="0" borderId="255" xfId="569" applyNumberFormat="1" applyFont="1" applyFill="1" applyBorder="1" applyAlignment="1">
      <alignment horizontal="right"/>
    </xf>
    <xf numFmtId="3" fontId="35" fillId="15" borderId="88" xfId="569" applyNumberFormat="1" applyFont="1" applyFill="1" applyBorder="1"/>
    <xf numFmtId="3" fontId="35" fillId="15" borderId="228" xfId="569" applyNumberFormat="1" applyFont="1" applyFill="1" applyBorder="1"/>
    <xf numFmtId="0" fontId="86" fillId="0" borderId="95" xfId="569" applyFont="1" applyFill="1" applyBorder="1" applyAlignment="1">
      <alignment horizontal="left"/>
    </xf>
    <xf numFmtId="0" fontId="36" fillId="0" borderId="95" xfId="569" applyFont="1" applyFill="1" applyBorder="1" applyAlignment="1">
      <alignment horizontal="left"/>
    </xf>
    <xf numFmtId="0" fontId="36" fillId="0" borderId="96" xfId="569" applyFont="1" applyFill="1" applyBorder="1" applyAlignment="1">
      <alignment horizontal="right"/>
    </xf>
    <xf numFmtId="0" fontId="71" fillId="0" borderId="97" xfId="569" applyFont="1" applyFill="1" applyBorder="1"/>
    <xf numFmtId="0" fontId="74" fillId="0" borderId="97" xfId="569" applyFont="1" applyFill="1" applyBorder="1"/>
    <xf numFmtId="0" fontId="74" fillId="0" borderId="95" xfId="569" applyFont="1" applyFill="1" applyBorder="1"/>
    <xf numFmtId="0" fontId="36" fillId="0" borderId="195" xfId="569" applyFont="1" applyBorder="1"/>
    <xf numFmtId="0" fontId="36" fillId="0" borderId="249" xfId="569" applyFont="1" applyBorder="1"/>
    <xf numFmtId="0" fontId="74" fillId="0" borderId="95" xfId="569" applyFont="1" applyFill="1" applyBorder="1" applyAlignment="1">
      <alignment horizontal="right"/>
    </xf>
    <xf numFmtId="0" fontId="36" fillId="0" borderId="95" xfId="569" applyFont="1" applyFill="1" applyBorder="1" applyAlignment="1">
      <alignment horizontal="right"/>
    </xf>
    <xf numFmtId="3" fontId="37" fillId="0" borderId="145" xfId="569" applyNumberFormat="1" applyFont="1" applyFill="1" applyBorder="1" applyAlignment="1">
      <alignment horizontal="center"/>
    </xf>
    <xf numFmtId="0" fontId="108" fillId="0" borderId="98" xfId="569" applyFont="1" applyFill="1" applyBorder="1" applyAlignment="1">
      <alignment horizontal="right"/>
    </xf>
    <xf numFmtId="0" fontId="74" fillId="0" borderId="195" xfId="569" applyFont="1" applyFill="1" applyBorder="1" applyAlignment="1">
      <alignment horizontal="right"/>
    </xf>
    <xf numFmtId="3" fontId="97" fillId="0" borderId="264" xfId="569" applyNumberFormat="1" applyFont="1" applyFill="1" applyBorder="1" applyAlignment="1">
      <alignment horizontal="left"/>
    </xf>
    <xf numFmtId="3" fontId="36" fillId="0" borderId="17" xfId="569" applyNumberFormat="1" applyFont="1" applyFill="1" applyBorder="1" applyAlignment="1">
      <alignment horizontal="left"/>
    </xf>
    <xf numFmtId="3" fontId="36" fillId="0" borderId="262" xfId="569" applyNumberFormat="1" applyFont="1" applyBorder="1" applyAlignment="1">
      <alignment horizontal="left"/>
    </xf>
    <xf numFmtId="3" fontId="84" fillId="0" borderId="17" xfId="569" applyNumberFormat="1" applyFont="1" applyFill="1" applyBorder="1" applyAlignment="1">
      <alignment horizontal="left"/>
    </xf>
    <xf numFmtId="3" fontId="84" fillId="0" borderId="21" xfId="569" applyNumberFormat="1" applyFont="1" applyFill="1" applyBorder="1" applyAlignment="1">
      <alignment horizontal="left"/>
    </xf>
    <xf numFmtId="3" fontId="84" fillId="0" borderId="264" xfId="569" applyNumberFormat="1" applyFont="1" applyFill="1" applyBorder="1" applyAlignment="1">
      <alignment horizontal="left"/>
    </xf>
    <xf numFmtId="3" fontId="110" fillId="0" borderId="227" xfId="569" applyNumberFormat="1" applyFont="1" applyBorder="1" applyAlignment="1">
      <alignment horizontal="left"/>
    </xf>
    <xf numFmtId="3" fontId="111" fillId="0" borderId="227" xfId="569" applyNumberFormat="1" applyFont="1" applyBorder="1" applyAlignment="1">
      <alignment horizontal="right"/>
    </xf>
    <xf numFmtId="0" fontId="86" fillId="0" borderId="95" xfId="569" applyFont="1" applyBorder="1" applyAlignment="1">
      <alignment horizontal="left"/>
    </xf>
    <xf numFmtId="0" fontId="84" fillId="0" borderId="34" xfId="569" applyFont="1" applyBorder="1" applyAlignment="1">
      <alignment horizontal="left"/>
    </xf>
    <xf numFmtId="0" fontId="86" fillId="0" borderId="96" xfId="569" applyFont="1" applyBorder="1" applyAlignment="1">
      <alignment horizontal="left"/>
    </xf>
    <xf numFmtId="0" fontId="74" fillId="0" borderId="0" xfId="569" applyFont="1" applyFill="1" applyBorder="1"/>
    <xf numFmtId="3" fontId="111" fillId="0" borderId="0" xfId="569" applyNumberFormat="1" applyFont="1" applyBorder="1" applyAlignment="1">
      <alignment horizontal="right"/>
    </xf>
    <xf numFmtId="0" fontId="74" fillId="0" borderId="266" xfId="569" applyFont="1" applyFill="1" applyBorder="1" applyAlignment="1">
      <alignment horizontal="right"/>
    </xf>
    <xf numFmtId="0" fontId="74" fillId="0" borderId="138" xfId="569" applyFont="1" applyFill="1" applyBorder="1"/>
    <xf numFmtId="0" fontId="74" fillId="0" borderId="97" xfId="569" applyFont="1" applyFill="1" applyBorder="1" applyAlignment="1">
      <alignment horizontal="right"/>
    </xf>
    <xf numFmtId="0" fontId="74" fillId="0" borderId="84" xfId="569" applyFont="1" applyFill="1" applyBorder="1"/>
    <xf numFmtId="3" fontId="111" fillId="0" borderId="267" xfId="569" applyNumberFormat="1" applyFont="1" applyBorder="1" applyAlignment="1">
      <alignment horizontal="right"/>
    </xf>
    <xf numFmtId="3" fontId="110" fillId="0" borderId="268" xfId="569" applyNumberFormat="1" applyFont="1" applyBorder="1" applyAlignment="1">
      <alignment horizontal="left"/>
    </xf>
    <xf numFmtId="3" fontId="110" fillId="0" borderId="194" xfId="569" applyNumberFormat="1" applyFont="1" applyBorder="1" applyAlignment="1">
      <alignment horizontal="left"/>
    </xf>
    <xf numFmtId="0" fontId="36" fillId="0" borderId="110" xfId="569" applyFont="1" applyFill="1" applyBorder="1" applyAlignment="1">
      <alignment horizontal="right"/>
    </xf>
    <xf numFmtId="3" fontId="38" fillId="0" borderId="0" xfId="569" applyNumberFormat="1" applyFont="1" applyFill="1" applyBorder="1"/>
    <xf numFmtId="3" fontId="97" fillId="0" borderId="21" xfId="569" applyNumberFormat="1" applyFont="1" applyFill="1" applyBorder="1" applyAlignment="1">
      <alignment horizontal="right"/>
    </xf>
    <xf numFmtId="3" fontId="97" fillId="0" borderId="264" xfId="569" applyNumberFormat="1" applyFont="1" applyFill="1" applyBorder="1" applyAlignment="1">
      <alignment horizontal="right"/>
    </xf>
    <xf numFmtId="0" fontId="84" fillId="0" borderId="0" xfId="569" applyFont="1" applyFill="1" applyBorder="1"/>
    <xf numFmtId="3" fontId="97" fillId="0" borderId="0" xfId="569" applyNumberFormat="1" applyFont="1" applyFill="1" applyBorder="1" applyAlignment="1">
      <alignment horizontal="left"/>
    </xf>
    <xf numFmtId="3" fontId="97" fillId="0" borderId="0" xfId="569" applyNumberFormat="1" applyFont="1" applyFill="1" applyBorder="1" applyAlignment="1">
      <alignment horizontal="right"/>
    </xf>
    <xf numFmtId="3" fontId="97" fillId="0" borderId="137" xfId="569" applyNumberFormat="1" applyFont="1" applyFill="1" applyBorder="1" applyAlignment="1">
      <alignment horizontal="right"/>
    </xf>
    <xf numFmtId="3" fontId="97" fillId="40" borderId="0" xfId="569" applyNumberFormat="1" applyFont="1" applyFill="1" applyBorder="1" applyAlignment="1">
      <alignment horizontal="left"/>
    </xf>
    <xf numFmtId="3" fontId="97" fillId="41" borderId="0" xfId="569" applyNumberFormat="1" applyFont="1" applyFill="1" applyBorder="1" applyAlignment="1">
      <alignment horizontal="right"/>
    </xf>
    <xf numFmtId="3" fontId="97" fillId="0" borderId="137" xfId="569" applyNumberFormat="1" applyFont="1" applyBorder="1" applyAlignment="1">
      <alignment horizontal="left"/>
    </xf>
    <xf numFmtId="3" fontId="86" fillId="9" borderId="0" xfId="571" applyNumberFormat="1" applyFont="1" applyBorder="1"/>
    <xf numFmtId="3" fontId="108" fillId="0" borderId="0" xfId="569" applyNumberFormat="1" applyFont="1" applyBorder="1"/>
    <xf numFmtId="3" fontId="108" fillId="0" borderId="0" xfId="569" applyNumberFormat="1" applyFont="1" applyBorder="1" applyAlignment="1">
      <alignment horizontal="right"/>
    </xf>
    <xf numFmtId="3" fontId="110" fillId="0" borderId="0" xfId="569" applyNumberFormat="1" applyFont="1" applyBorder="1" applyAlignment="1">
      <alignment horizontal="left"/>
    </xf>
    <xf numFmtId="3" fontId="84" fillId="0" borderId="0" xfId="569" applyNumberFormat="1" applyFont="1" applyFill="1" applyBorder="1" applyAlignment="1">
      <alignment horizontal="left"/>
    </xf>
    <xf numFmtId="3" fontId="108" fillId="0" borderId="0" xfId="569" applyNumberFormat="1" applyFont="1" applyFill="1" applyBorder="1" applyAlignment="1">
      <alignment horizontal="right"/>
    </xf>
    <xf numFmtId="0" fontId="35" fillId="8" borderId="0" xfId="569" applyFont="1" applyFill="1" applyBorder="1"/>
    <xf numFmtId="3" fontId="35" fillId="8" borderId="0" xfId="569" applyNumberFormat="1" applyFont="1" applyFill="1" applyBorder="1" applyAlignment="1">
      <alignment horizontal="right"/>
    </xf>
    <xf numFmtId="3" fontId="35" fillId="8" borderId="0" xfId="569" applyNumberFormat="1" applyFont="1" applyFill="1" applyBorder="1"/>
    <xf numFmtId="0" fontId="86" fillId="41" borderId="0" xfId="571" applyFont="1" applyFill="1" applyBorder="1"/>
    <xf numFmtId="3" fontId="86" fillId="41" borderId="0" xfId="571" applyNumberFormat="1" applyFont="1" applyFill="1" applyBorder="1" applyAlignment="1">
      <alignment horizontal="right"/>
    </xf>
    <xf numFmtId="3" fontId="86" fillId="41" borderId="0" xfId="571" applyNumberFormat="1" applyFont="1" applyFill="1" applyBorder="1"/>
    <xf numFmtId="0" fontId="109" fillId="40" borderId="0" xfId="569" applyFont="1" applyFill="1" applyBorder="1"/>
    <xf numFmtId="3" fontId="109" fillId="40" borderId="0" xfId="569" applyNumberFormat="1" applyFont="1" applyFill="1" applyBorder="1" applyAlignment="1">
      <alignment horizontal="right"/>
    </xf>
    <xf numFmtId="3" fontId="109" fillId="40" borderId="0" xfId="569" applyNumberFormat="1" applyFont="1" applyFill="1" applyBorder="1"/>
    <xf numFmtId="3" fontId="112" fillId="8" borderId="0" xfId="566" applyNumberFormat="1" applyFont="1" applyFill="1" applyBorder="1"/>
    <xf numFmtId="3" fontId="108" fillId="40" borderId="0" xfId="569" applyNumberFormat="1" applyFont="1" applyFill="1" applyBorder="1"/>
    <xf numFmtId="0" fontId="36" fillId="40" borderId="0" xfId="569" applyFont="1" applyFill="1" applyBorder="1" applyAlignment="1">
      <alignment horizontal="right"/>
    </xf>
    <xf numFmtId="0" fontId="84" fillId="40" borderId="0" xfId="569" applyFont="1" applyFill="1" applyBorder="1" applyAlignment="1">
      <alignment horizontal="left"/>
    </xf>
    <xf numFmtId="3" fontId="36" fillId="40" borderId="0" xfId="569" applyNumberFormat="1" applyFont="1" applyFill="1" applyBorder="1"/>
    <xf numFmtId="3" fontId="36" fillId="41" borderId="0" xfId="569" applyNumberFormat="1" applyFont="1" applyFill="1" applyBorder="1" applyAlignment="1">
      <alignment horizontal="left"/>
    </xf>
    <xf numFmtId="3" fontId="36" fillId="40" borderId="0" xfId="569" applyNumberFormat="1" applyFont="1" applyFill="1" applyBorder="1" applyAlignment="1">
      <alignment horizontal="left"/>
    </xf>
    <xf numFmtId="0" fontId="84" fillId="40" borderId="0" xfId="569" applyFont="1" applyFill="1" applyBorder="1"/>
    <xf numFmtId="3" fontId="69" fillId="40" borderId="0" xfId="569" applyNumberFormat="1" applyFont="1" applyFill="1" applyBorder="1"/>
    <xf numFmtId="3" fontId="89" fillId="40" borderId="0" xfId="569" applyNumberFormat="1" applyFont="1" applyFill="1" applyBorder="1"/>
    <xf numFmtId="0" fontId="108" fillId="40" borderId="0" xfId="569" applyFont="1" applyFill="1" applyBorder="1" applyAlignment="1">
      <alignment horizontal="right"/>
    </xf>
    <xf numFmtId="0" fontId="108" fillId="40" borderId="0" xfId="569" applyFont="1" applyFill="1" applyBorder="1"/>
    <xf numFmtId="3" fontId="108" fillId="41" borderId="0" xfId="569" applyNumberFormat="1" applyFont="1" applyFill="1" applyBorder="1"/>
    <xf numFmtId="0" fontId="71" fillId="40" borderId="0" xfId="569" applyFont="1" applyFill="1" applyBorder="1"/>
    <xf numFmtId="0" fontId="74" fillId="40" borderId="0" xfId="569" applyFont="1" applyFill="1" applyBorder="1"/>
    <xf numFmtId="0" fontId="36" fillId="40" borderId="0" xfId="569" applyFont="1" applyFill="1" applyBorder="1"/>
    <xf numFmtId="165" fontId="36" fillId="40" borderId="0" xfId="410" applyFont="1" applyFill="1" applyBorder="1" applyAlignment="1" applyProtection="1">
      <alignment horizontal="left"/>
    </xf>
    <xf numFmtId="49" fontId="36" fillId="40" borderId="0" xfId="569" applyNumberFormat="1" applyFont="1" applyFill="1" applyBorder="1" applyAlignment="1">
      <alignment horizontal="center"/>
    </xf>
    <xf numFmtId="3" fontId="108" fillId="41" borderId="0" xfId="569" applyNumberFormat="1" applyFont="1" applyFill="1" applyBorder="1" applyAlignment="1">
      <alignment horizontal="right"/>
    </xf>
    <xf numFmtId="3" fontId="108" fillId="40" borderId="0" xfId="569" applyNumberFormat="1" applyFont="1" applyFill="1" applyBorder="1" applyAlignment="1">
      <alignment horizontal="right"/>
    </xf>
    <xf numFmtId="0" fontId="74" fillId="40" borderId="0" xfId="569" applyFont="1" applyFill="1" applyBorder="1" applyAlignment="1">
      <alignment horizontal="right"/>
    </xf>
    <xf numFmtId="3" fontId="107" fillId="40" borderId="0" xfId="569" applyNumberFormat="1" applyFont="1" applyFill="1" applyBorder="1"/>
    <xf numFmtId="3" fontId="111" fillId="41" borderId="0" xfId="569" applyNumberFormat="1" applyFont="1" applyFill="1" applyBorder="1" applyAlignment="1">
      <alignment horizontal="right"/>
    </xf>
    <xf numFmtId="3" fontId="111" fillId="40" borderId="0" xfId="569" applyNumberFormat="1" applyFont="1" applyFill="1" applyBorder="1" applyAlignment="1">
      <alignment horizontal="right"/>
    </xf>
    <xf numFmtId="3" fontId="110" fillId="41" borderId="0" xfId="569" applyNumberFormat="1" applyFont="1" applyFill="1" applyBorder="1" applyAlignment="1">
      <alignment horizontal="left"/>
    </xf>
    <xf numFmtId="3" fontId="110" fillId="40" borderId="0" xfId="569" applyNumberFormat="1" applyFont="1" applyFill="1" applyBorder="1" applyAlignment="1">
      <alignment horizontal="left"/>
    </xf>
    <xf numFmtId="3" fontId="36" fillId="40" borderId="0" xfId="569" applyNumberFormat="1" applyFont="1" applyFill="1" applyBorder="1" applyAlignment="1">
      <alignment horizontal="right"/>
    </xf>
    <xf numFmtId="3" fontId="84" fillId="40" borderId="0" xfId="569" applyNumberFormat="1" applyFont="1" applyFill="1" applyBorder="1" applyAlignment="1">
      <alignment horizontal="right"/>
    </xf>
    <xf numFmtId="3" fontId="84" fillId="41" borderId="0" xfId="569" applyNumberFormat="1" applyFont="1" applyFill="1" applyBorder="1" applyAlignment="1">
      <alignment horizontal="left"/>
    </xf>
    <xf numFmtId="3" fontId="84" fillId="40" borderId="0" xfId="569" applyNumberFormat="1" applyFont="1" applyFill="1" applyBorder="1" applyAlignment="1">
      <alignment horizontal="left"/>
    </xf>
    <xf numFmtId="3" fontId="97" fillId="41" borderId="0" xfId="569" applyNumberFormat="1" applyFont="1" applyFill="1" applyBorder="1" applyAlignment="1">
      <alignment horizontal="left"/>
    </xf>
    <xf numFmtId="3" fontId="97" fillId="40" borderId="0" xfId="569" applyNumberFormat="1" applyFont="1" applyFill="1" applyBorder="1" applyAlignment="1">
      <alignment horizontal="right"/>
    </xf>
    <xf numFmtId="0" fontId="6" fillId="40" borderId="0" xfId="569" applyFont="1" applyFill="1" applyBorder="1"/>
    <xf numFmtId="4" fontId="6" fillId="40" borderId="0" xfId="569" applyNumberFormat="1" applyFont="1" applyFill="1" applyBorder="1"/>
    <xf numFmtId="0" fontId="74" fillId="0" borderId="249" xfId="569" applyFont="1" applyFill="1" applyBorder="1" applyAlignment="1">
      <alignment horizontal="right"/>
    </xf>
    <xf numFmtId="0" fontId="74" fillId="0" borderId="269" xfId="569" applyFont="1" applyFill="1" applyBorder="1"/>
    <xf numFmtId="166" fontId="36" fillId="0" borderId="0" xfId="569" applyNumberFormat="1" applyFont="1" applyFill="1" applyBorder="1" applyAlignment="1">
      <alignment horizontal="right"/>
    </xf>
    <xf numFmtId="2" fontId="6" fillId="0" borderId="0" xfId="569" applyNumberFormat="1" applyFont="1" applyFill="1" applyBorder="1"/>
    <xf numFmtId="2" fontId="6" fillId="0" borderId="0" xfId="569" applyNumberFormat="1" applyFont="1" applyFill="1" applyBorder="1" applyAlignment="1"/>
    <xf numFmtId="0" fontId="113" fillId="0" borderId="173" xfId="569" applyFont="1" applyFill="1" applyBorder="1"/>
    <xf numFmtId="0" fontId="113" fillId="0" borderId="16" xfId="569" applyFont="1" applyFill="1" applyBorder="1"/>
    <xf numFmtId="4" fontId="37" fillId="0" borderId="0" xfId="569" applyNumberFormat="1" applyFont="1" applyFill="1" applyBorder="1" applyAlignment="1"/>
    <xf numFmtId="3" fontId="36" fillId="4" borderId="192" xfId="569" applyNumberFormat="1" applyFont="1" applyFill="1" applyBorder="1" applyAlignment="1">
      <alignment horizontal="right"/>
    </xf>
    <xf numFmtId="3" fontId="44" fillId="0" borderId="60" xfId="0" applyNumberFormat="1" applyFont="1" applyFill="1" applyBorder="1" applyAlignment="1"/>
    <xf numFmtId="3" fontId="55" fillId="7" borderId="43" xfId="0" applyNumberFormat="1" applyFont="1" applyFill="1" applyBorder="1" applyAlignment="1"/>
    <xf numFmtId="3" fontId="52" fillId="7" borderId="64" xfId="0" applyNumberFormat="1" applyFont="1" applyFill="1" applyBorder="1" applyAlignment="1"/>
    <xf numFmtId="3" fontId="61" fillId="8" borderId="87" xfId="0" applyNumberFormat="1" applyFont="1" applyFill="1" applyBorder="1" applyAlignment="1">
      <alignment horizontal="left"/>
    </xf>
    <xf numFmtId="3" fontId="50" fillId="7" borderId="125" xfId="0" applyNumberFormat="1" applyFont="1" applyFill="1" applyBorder="1"/>
    <xf numFmtId="0" fontId="55" fillId="15" borderId="35" xfId="0" applyFont="1" applyFill="1" applyBorder="1"/>
    <xf numFmtId="0" fontId="55" fillId="15" borderId="36" xfId="0" applyFont="1" applyFill="1" applyBorder="1"/>
    <xf numFmtId="3" fontId="50" fillId="15" borderId="270" xfId="409" applyNumberFormat="1" applyFont="1" applyFill="1" applyBorder="1" applyAlignment="1">
      <alignment horizontal="center"/>
    </xf>
    <xf numFmtId="3" fontId="50" fillId="15" borderId="60" xfId="0" applyNumberFormat="1" applyFont="1" applyFill="1" applyBorder="1"/>
    <xf numFmtId="3" fontId="50" fillId="15" borderId="58" xfId="0" applyNumberFormat="1" applyFont="1" applyFill="1" applyBorder="1"/>
    <xf numFmtId="0" fontId="0" fillId="0" borderId="91" xfId="0" applyFont="1" applyBorder="1"/>
    <xf numFmtId="0" fontId="0" fillId="0" borderId="84" xfId="0" applyFont="1" applyBorder="1"/>
    <xf numFmtId="3" fontId="44" fillId="0" borderId="89" xfId="0" applyNumberFormat="1" applyFont="1" applyBorder="1"/>
    <xf numFmtId="3" fontId="44" fillId="0" borderId="81" xfId="0" applyNumberFormat="1" applyFont="1" applyBorder="1"/>
    <xf numFmtId="3" fontId="44" fillId="0" borderId="83" xfId="0" applyNumberFormat="1" applyFont="1" applyBorder="1"/>
    <xf numFmtId="3" fontId="44" fillId="0" borderId="271" xfId="0" applyNumberFormat="1" applyFont="1" applyBorder="1"/>
    <xf numFmtId="49" fontId="36" fillId="0" borderId="254" xfId="569" applyNumberFormat="1" applyFont="1" applyFill="1" applyBorder="1" applyAlignment="1">
      <alignment horizontal="center"/>
    </xf>
    <xf numFmtId="3" fontId="107" fillId="0" borderId="21" xfId="569" applyNumberFormat="1" applyFont="1" applyFill="1" applyBorder="1"/>
    <xf numFmtId="3" fontId="69" fillId="0" borderId="21" xfId="569" applyNumberFormat="1" applyFont="1" applyFill="1" applyBorder="1" applyAlignment="1">
      <alignment horizontal="right"/>
    </xf>
    <xf numFmtId="3" fontId="69" fillId="0" borderId="17" xfId="569" applyNumberFormat="1" applyFont="1" applyFill="1" applyBorder="1" applyAlignment="1">
      <alignment horizontal="left"/>
    </xf>
    <xf numFmtId="3" fontId="36" fillId="0" borderId="17" xfId="569" applyNumberFormat="1" applyFont="1" applyFill="1" applyBorder="1"/>
    <xf numFmtId="3" fontId="74" fillId="0" borderId="17" xfId="569" applyNumberFormat="1" applyFont="1" applyFill="1" applyBorder="1" applyAlignment="1">
      <alignment horizontal="right"/>
    </xf>
    <xf numFmtId="3" fontId="74" fillId="0" borderId="17" xfId="569" applyNumberFormat="1" applyFont="1" applyFill="1" applyBorder="1"/>
    <xf numFmtId="3" fontId="6" fillId="0" borderId="17" xfId="569" applyNumberFormat="1" applyFont="1" applyBorder="1"/>
    <xf numFmtId="3" fontId="36" fillId="0" borderId="117" xfId="569" applyNumberFormat="1" applyFont="1" applyFill="1" applyBorder="1"/>
    <xf numFmtId="3" fontId="31" fillId="0" borderId="0" xfId="569" applyNumberFormat="1" applyFont="1" applyFill="1" applyBorder="1" applyAlignment="1">
      <alignment horizontal="center" vertical="center"/>
    </xf>
    <xf numFmtId="3" fontId="0" fillId="0" borderId="0" xfId="0" applyNumberFormat="1" applyBorder="1"/>
    <xf numFmtId="3" fontId="69" fillId="0" borderId="17" xfId="569" applyNumberFormat="1" applyFont="1" applyFill="1" applyBorder="1" applyAlignment="1">
      <alignment horizontal="right"/>
    </xf>
    <xf numFmtId="3" fontId="36" fillId="0" borderId="178" xfId="569" applyNumberFormat="1" applyFont="1" applyFill="1" applyBorder="1" applyAlignment="1">
      <alignment horizontal="right"/>
    </xf>
    <xf numFmtId="3" fontId="36" fillId="0" borderId="144" xfId="569" applyNumberFormat="1" applyFont="1" applyBorder="1"/>
    <xf numFmtId="3" fontId="36" fillId="0" borderId="272" xfId="569" applyNumberFormat="1" applyFont="1" applyBorder="1"/>
    <xf numFmtId="3" fontId="36" fillId="0" borderId="273" xfId="569" applyNumberFormat="1" applyFont="1" applyBorder="1"/>
    <xf numFmtId="0" fontId="69" fillId="0" borderId="95" xfId="569" applyFont="1" applyFill="1" applyBorder="1"/>
    <xf numFmtId="3" fontId="36" fillId="0" borderId="178" xfId="569" applyNumberFormat="1" applyFont="1" applyBorder="1" applyAlignment="1">
      <alignment horizontal="right"/>
    </xf>
    <xf numFmtId="3" fontId="84" fillId="0" borderId="17" xfId="569" applyNumberFormat="1" applyFont="1" applyFill="1" applyBorder="1"/>
    <xf numFmtId="3" fontId="36" fillId="26" borderId="178" xfId="569" applyNumberFormat="1" applyFont="1" applyFill="1" applyBorder="1"/>
    <xf numFmtId="0" fontId="74" fillId="0" borderId="98" xfId="569" applyFont="1" applyFill="1" applyBorder="1" applyAlignment="1">
      <alignment horizontal="right"/>
    </xf>
    <xf numFmtId="0" fontId="69" fillId="0" borderId="98" xfId="569" applyFont="1" applyFill="1" applyBorder="1"/>
    <xf numFmtId="3" fontId="86" fillId="4" borderId="62" xfId="569" applyNumberFormat="1" applyFont="1" applyFill="1" applyBorder="1" applyAlignment="1">
      <alignment horizontal="right"/>
    </xf>
    <xf numFmtId="0" fontId="31" fillId="7" borderId="230" xfId="569" applyNumberFormat="1" applyFont="1" applyFill="1" applyBorder="1" applyAlignment="1">
      <alignment horizontal="center" vertical="center"/>
    </xf>
    <xf numFmtId="3" fontId="36" fillId="0" borderId="272" xfId="569" applyNumberFormat="1" applyFont="1" applyBorder="1" applyAlignment="1">
      <alignment horizontal="right"/>
    </xf>
    <xf numFmtId="3" fontId="37" fillId="0" borderId="272" xfId="569" applyNumberFormat="1" applyFont="1" applyBorder="1"/>
    <xf numFmtId="3" fontId="35" fillId="15" borderId="213" xfId="569" applyNumberFormat="1" applyFont="1" applyFill="1" applyBorder="1" applyAlignment="1">
      <alignment horizontal="right"/>
    </xf>
    <xf numFmtId="3" fontId="36" fillId="0" borderId="272" xfId="569" applyNumberFormat="1" applyFont="1" applyFill="1" applyBorder="1" applyAlignment="1">
      <alignment horizontal="right"/>
    </xf>
    <xf numFmtId="3" fontId="37" fillId="0" borderId="272" xfId="569" applyNumberFormat="1" applyFont="1" applyFill="1" applyBorder="1" applyAlignment="1">
      <alignment horizontal="right"/>
    </xf>
    <xf numFmtId="3" fontId="37" fillId="0" borderId="272" xfId="569" applyNumberFormat="1" applyFont="1" applyBorder="1" applyAlignment="1">
      <alignment horizontal="right"/>
    </xf>
    <xf numFmtId="0" fontId="31" fillId="3" borderId="60" xfId="569" applyFont="1" applyFill="1" applyBorder="1"/>
    <xf numFmtId="3" fontId="37" fillId="3" borderId="35" xfId="569" applyNumberFormat="1" applyFont="1" applyFill="1" applyBorder="1" applyAlignment="1">
      <alignment horizontal="right"/>
    </xf>
    <xf numFmtId="3" fontId="37" fillId="3" borderId="36" xfId="569" applyNumberFormat="1" applyFont="1" applyFill="1" applyBorder="1" applyAlignment="1">
      <alignment horizontal="right"/>
    </xf>
    <xf numFmtId="3" fontId="37" fillId="3" borderId="242" xfId="569" applyNumberFormat="1" applyFont="1" applyFill="1" applyBorder="1" applyAlignment="1">
      <alignment horizontal="right"/>
    </xf>
    <xf numFmtId="3" fontId="86" fillId="3" borderId="206" xfId="569" applyNumberFormat="1" applyFont="1" applyFill="1" applyBorder="1"/>
    <xf numFmtId="3" fontId="37" fillId="3" borderId="200" xfId="569" applyNumberFormat="1" applyFont="1" applyFill="1" applyBorder="1"/>
    <xf numFmtId="3" fontId="55" fillId="7" borderId="85" xfId="0" applyNumberFormat="1" applyFont="1" applyFill="1" applyBorder="1" applyAlignment="1"/>
    <xf numFmtId="3" fontId="55" fillId="7" borderId="49" xfId="0" applyNumberFormat="1" applyFont="1" applyFill="1" applyBorder="1" applyAlignment="1"/>
    <xf numFmtId="3" fontId="55" fillId="7" borderId="13" xfId="0" applyNumberFormat="1" applyFont="1" applyFill="1" applyBorder="1" applyAlignment="1"/>
    <xf numFmtId="3" fontId="52" fillId="7" borderId="43" xfId="0" applyNumberFormat="1" applyFont="1" applyFill="1" applyBorder="1" applyAlignment="1"/>
    <xf numFmtId="3" fontId="55" fillId="7" borderId="64" xfId="0" applyNumberFormat="1" applyFont="1" applyFill="1" applyBorder="1" applyAlignment="1"/>
    <xf numFmtId="3" fontId="36" fillId="0" borderId="200" xfId="569" applyNumberFormat="1" applyFont="1" applyFill="1" applyBorder="1" applyAlignment="1">
      <alignment horizontal="right"/>
    </xf>
    <xf numFmtId="3" fontId="36" fillId="0" borderId="91" xfId="569" applyNumberFormat="1" applyFont="1" applyFill="1" applyBorder="1" applyAlignment="1">
      <alignment horizontal="right"/>
    </xf>
    <xf numFmtId="3" fontId="35" fillId="15" borderId="159" xfId="569" applyNumberFormat="1" applyFont="1" applyFill="1" applyBorder="1" applyAlignment="1">
      <alignment horizontal="right"/>
    </xf>
    <xf numFmtId="4" fontId="84" fillId="0" borderId="22" xfId="569" applyNumberFormat="1" applyFont="1" applyFill="1" applyBorder="1" applyAlignment="1">
      <alignment horizontal="justify" vertical="top"/>
    </xf>
    <xf numFmtId="2" fontId="84" fillId="0" borderId="23" xfId="569" applyNumberFormat="1" applyFont="1" applyFill="1" applyBorder="1" applyAlignment="1">
      <alignment horizontal="justify" vertical="center"/>
    </xf>
    <xf numFmtId="3" fontId="84" fillId="0" borderId="103" xfId="569" applyNumberFormat="1" applyFont="1" applyFill="1" applyBorder="1" applyAlignment="1">
      <alignment horizontal="right" vertical="center"/>
    </xf>
    <xf numFmtId="3" fontId="86" fillId="0" borderId="55" xfId="569" applyNumberFormat="1" applyFont="1" applyBorder="1"/>
    <xf numFmtId="3" fontId="36" fillId="0" borderId="91" xfId="569" applyNumberFormat="1" applyFont="1" applyFill="1" applyBorder="1"/>
    <xf numFmtId="3" fontId="37" fillId="3" borderId="204" xfId="569" applyNumberFormat="1" applyFont="1" applyFill="1" applyBorder="1"/>
    <xf numFmtId="3" fontId="101" fillId="3" borderId="198" xfId="0" applyNumberFormat="1" applyFont="1" applyFill="1" applyBorder="1" applyAlignment="1">
      <alignment horizontal="right"/>
    </xf>
    <xf numFmtId="3" fontId="101" fillId="31" borderId="198" xfId="0" applyNumberFormat="1" applyFont="1" applyFill="1" applyBorder="1"/>
    <xf numFmtId="3" fontId="101" fillId="36" borderId="198" xfId="0" applyNumberFormat="1" applyFont="1" applyFill="1" applyBorder="1"/>
    <xf numFmtId="3" fontId="101" fillId="31" borderId="137" xfId="0" applyNumberFormat="1" applyFont="1" applyFill="1" applyBorder="1"/>
    <xf numFmtId="0" fontId="84" fillId="0" borderId="63" xfId="569" applyFont="1" applyFill="1" applyBorder="1" applyAlignment="1">
      <alignment horizontal="right"/>
    </xf>
    <xf numFmtId="0" fontId="84" fillId="0" borderId="64" xfId="569" applyFont="1" applyFill="1" applyBorder="1"/>
    <xf numFmtId="0" fontId="84" fillId="0" borderId="181" xfId="569" applyFont="1" applyFill="1" applyBorder="1"/>
    <xf numFmtId="3" fontId="69" fillId="0" borderId="137" xfId="569" applyNumberFormat="1" applyFont="1" applyFill="1" applyBorder="1" applyAlignment="1">
      <alignment horizontal="left"/>
    </xf>
    <xf numFmtId="3" fontId="31" fillId="0" borderId="137" xfId="569" applyNumberFormat="1" applyFont="1" applyFill="1" applyBorder="1" applyAlignment="1">
      <alignment horizontal="center" vertical="center"/>
    </xf>
    <xf numFmtId="3" fontId="69" fillId="0" borderId="137" xfId="569" applyNumberFormat="1" applyFont="1" applyFill="1" applyBorder="1" applyAlignment="1">
      <alignment horizontal="right"/>
    </xf>
    <xf numFmtId="3" fontId="84" fillId="0" borderId="201" xfId="569" applyNumberFormat="1" applyFont="1" applyFill="1" applyBorder="1"/>
    <xf numFmtId="3" fontId="36" fillId="0" borderId="64" xfId="569" applyNumberFormat="1" applyFont="1" applyFill="1" applyBorder="1"/>
    <xf numFmtId="3" fontId="84" fillId="0" borderId="255" xfId="569" applyNumberFormat="1" applyFont="1" applyFill="1" applyBorder="1"/>
    <xf numFmtId="3" fontId="88" fillId="0" borderId="137" xfId="569" applyNumberFormat="1" applyFont="1" applyFill="1" applyBorder="1" applyAlignment="1">
      <alignment horizontal="left"/>
    </xf>
    <xf numFmtId="3" fontId="6" fillId="0" borderId="137" xfId="569" applyNumberFormat="1" applyFont="1" applyFill="1" applyBorder="1" applyAlignment="1">
      <alignment horizontal="right"/>
    </xf>
    <xf numFmtId="3" fontId="43" fillId="0" borderId="137" xfId="569" applyNumberFormat="1" applyFont="1" applyFill="1" applyBorder="1" applyAlignment="1">
      <alignment horizontal="center" vertical="center"/>
    </xf>
    <xf numFmtId="3" fontId="89" fillId="0" borderId="137" xfId="569" applyNumberFormat="1" applyFont="1" applyFill="1" applyBorder="1" applyAlignment="1">
      <alignment horizontal="right"/>
    </xf>
    <xf numFmtId="3" fontId="36" fillId="0" borderId="111" xfId="569" applyNumberFormat="1" applyFont="1" applyFill="1" applyBorder="1"/>
    <xf numFmtId="3" fontId="36" fillId="0" borderId="91" xfId="569" applyNumberFormat="1" applyFont="1" applyFill="1" applyBorder="1" applyAlignment="1">
      <alignment horizontal="left"/>
    </xf>
    <xf numFmtId="3" fontId="87" fillId="0" borderId="91" xfId="569" applyNumberFormat="1" applyFont="1" applyFill="1" applyBorder="1" applyAlignment="1">
      <alignment horizontal="left"/>
    </xf>
    <xf numFmtId="3" fontId="36" fillId="0" borderId="109" xfId="569" applyNumberFormat="1" applyFont="1" applyFill="1" applyBorder="1" applyAlignment="1">
      <alignment horizontal="right"/>
    </xf>
    <xf numFmtId="3" fontId="69" fillId="0" borderId="91" xfId="569" applyNumberFormat="1" applyFont="1" applyFill="1" applyBorder="1" applyAlignment="1">
      <alignment horizontal="left"/>
    </xf>
    <xf numFmtId="3" fontId="69" fillId="0" borderId="91" xfId="569" applyNumberFormat="1" applyFont="1" applyFill="1" applyBorder="1" applyAlignment="1">
      <alignment horizontal="right"/>
    </xf>
    <xf numFmtId="3" fontId="36" fillId="0" borderId="181" xfId="569" applyNumberFormat="1" applyFont="1" applyFill="1" applyBorder="1"/>
    <xf numFmtId="3" fontId="36" fillId="0" borderId="179" xfId="569" applyNumberFormat="1" applyFont="1" applyFill="1" applyBorder="1"/>
    <xf numFmtId="3" fontId="69" fillId="0" borderId="179" xfId="569" applyNumberFormat="1" applyFont="1" applyFill="1" applyBorder="1" applyAlignment="1">
      <alignment horizontal="left"/>
    </xf>
    <xf numFmtId="3" fontId="36" fillId="0" borderId="204" xfId="569" applyNumberFormat="1" applyFont="1" applyFill="1" applyBorder="1"/>
    <xf numFmtId="0" fontId="36" fillId="0" borderId="82" xfId="569" applyFont="1" applyBorder="1"/>
    <xf numFmtId="0" fontId="36" fillId="0" borderId="110" xfId="569" applyFont="1" applyBorder="1"/>
    <xf numFmtId="0" fontId="107" fillId="0" borderId="137" xfId="569" applyFont="1" applyBorder="1"/>
    <xf numFmtId="3" fontId="89" fillId="0" borderId="137" xfId="569" applyNumberFormat="1" applyFont="1" applyFill="1" applyBorder="1" applyAlignment="1">
      <alignment horizontal="left"/>
    </xf>
    <xf numFmtId="3" fontId="84" fillId="0" borderId="137" xfId="569" applyNumberFormat="1" applyFont="1" applyFill="1" applyBorder="1" applyAlignment="1">
      <alignment horizontal="left"/>
    </xf>
    <xf numFmtId="3" fontId="114" fillId="0" borderId="137" xfId="569" applyNumberFormat="1" applyFont="1" applyFill="1" applyBorder="1" applyAlignment="1">
      <alignment horizontal="left"/>
    </xf>
    <xf numFmtId="3" fontId="108" fillId="0" borderId="21" xfId="569" applyNumberFormat="1" applyFont="1" applyFill="1" applyBorder="1" applyAlignment="1">
      <alignment horizontal="left"/>
    </xf>
    <xf numFmtId="3" fontId="108" fillId="0" borderId="264" xfId="569" applyNumberFormat="1" applyFont="1" applyFill="1" applyBorder="1" applyAlignment="1">
      <alignment horizontal="left"/>
    </xf>
    <xf numFmtId="3" fontId="108" fillId="0" borderId="144" xfId="569" applyNumberFormat="1" applyFont="1" applyFill="1" applyBorder="1" applyAlignment="1">
      <alignment horizontal="left"/>
    </xf>
    <xf numFmtId="3" fontId="108" fillId="0" borderId="137" xfId="569" applyNumberFormat="1" applyFont="1" applyFill="1" applyBorder="1" applyAlignment="1">
      <alignment horizontal="left"/>
    </xf>
    <xf numFmtId="3" fontId="84" fillId="0" borderId="276" xfId="569" applyNumberFormat="1" applyFont="1" applyFill="1" applyBorder="1" applyAlignment="1">
      <alignment horizontal="left"/>
    </xf>
    <xf numFmtId="3" fontId="84" fillId="0" borderId="117" xfId="569" applyNumberFormat="1" applyFont="1" applyFill="1" applyBorder="1" applyAlignment="1">
      <alignment horizontal="left"/>
    </xf>
    <xf numFmtId="3" fontId="108" fillId="0" borderId="17" xfId="569" applyNumberFormat="1" applyFont="1" applyFill="1" applyBorder="1" applyAlignment="1">
      <alignment horizontal="left"/>
    </xf>
    <xf numFmtId="3" fontId="111" fillId="0" borderId="17" xfId="569" applyNumberFormat="1" applyFont="1" applyFill="1" applyBorder="1" applyAlignment="1">
      <alignment horizontal="right"/>
    </xf>
    <xf numFmtId="3" fontId="110" fillId="0" borderId="17" xfId="569" applyNumberFormat="1" applyFont="1" applyFill="1" applyBorder="1" applyAlignment="1">
      <alignment horizontal="left"/>
    </xf>
    <xf numFmtId="3" fontId="111" fillId="0" borderId="117" xfId="569" applyNumberFormat="1" applyFont="1" applyFill="1" applyBorder="1" applyAlignment="1">
      <alignment horizontal="right"/>
    </xf>
    <xf numFmtId="3" fontId="110" fillId="0" borderId="138" xfId="569" applyNumberFormat="1" applyFont="1" applyFill="1" applyBorder="1" applyAlignment="1">
      <alignment horizontal="left"/>
    </xf>
    <xf numFmtId="3" fontId="110" fillId="0" borderId="84" xfId="569" applyNumberFormat="1" applyFont="1" applyFill="1" applyBorder="1" applyAlignment="1">
      <alignment horizontal="left"/>
    </xf>
    <xf numFmtId="3" fontId="108" fillId="0" borderId="64" xfId="569" applyNumberFormat="1" applyFont="1" applyFill="1" applyBorder="1" applyAlignment="1">
      <alignment horizontal="right"/>
    </xf>
    <xf numFmtId="3" fontId="97" fillId="0" borderId="84" xfId="569" applyNumberFormat="1" applyFont="1" applyFill="1" applyBorder="1" applyAlignment="1">
      <alignment horizontal="left"/>
    </xf>
    <xf numFmtId="3" fontId="97" fillId="0" borderId="84" xfId="569" applyNumberFormat="1" applyFont="1" applyFill="1" applyBorder="1" applyAlignment="1">
      <alignment horizontal="right"/>
    </xf>
    <xf numFmtId="3" fontId="67" fillId="40" borderId="0" xfId="569" applyNumberFormat="1" applyFont="1" applyFill="1" applyBorder="1" applyAlignment="1">
      <alignment horizontal="left"/>
    </xf>
    <xf numFmtId="3" fontId="97" fillId="30" borderId="86" xfId="569" applyNumberFormat="1" applyFont="1" applyFill="1" applyBorder="1" applyAlignment="1">
      <alignment horizontal="right"/>
    </xf>
    <xf numFmtId="3" fontId="67" fillId="30" borderId="86" xfId="569" applyNumberFormat="1" applyFont="1" applyFill="1" applyBorder="1" applyAlignment="1">
      <alignment horizontal="left"/>
    </xf>
    <xf numFmtId="0" fontId="6" fillId="26" borderId="86" xfId="569" applyFont="1" applyFill="1" applyBorder="1"/>
    <xf numFmtId="3" fontId="84" fillId="0" borderId="64" xfId="569" applyNumberFormat="1" applyFont="1" applyFill="1" applyBorder="1"/>
    <xf numFmtId="3" fontId="84" fillId="0" borderId="21" xfId="569" applyNumberFormat="1" applyFont="1" applyFill="1" applyBorder="1"/>
    <xf numFmtId="3" fontId="86" fillId="3" borderId="60" xfId="569" applyNumberFormat="1" applyFont="1" applyFill="1" applyBorder="1"/>
    <xf numFmtId="3" fontId="84" fillId="0" borderId="227" xfId="569" applyNumberFormat="1" applyFont="1" applyBorder="1"/>
    <xf numFmtId="3" fontId="84" fillId="0" borderId="227" xfId="569" applyNumberFormat="1" applyFont="1" applyFill="1" applyBorder="1" applyAlignment="1">
      <alignment horizontal="right"/>
    </xf>
    <xf numFmtId="3" fontId="69" fillId="0" borderId="227" xfId="569" applyNumberFormat="1" applyFont="1" applyFill="1" applyBorder="1" applyAlignment="1">
      <alignment horizontal="right"/>
    </xf>
    <xf numFmtId="0" fontId="69" fillId="8" borderId="95" xfId="569" applyFont="1" applyFill="1" applyBorder="1"/>
    <xf numFmtId="3" fontId="103" fillId="0" borderId="227" xfId="569" applyNumberFormat="1" applyFont="1" applyBorder="1" applyAlignment="1">
      <alignment horizontal="right"/>
    </xf>
    <xf numFmtId="3" fontId="69" fillId="0" borderId="17" xfId="569" applyNumberFormat="1" applyFont="1" applyFill="1" applyBorder="1"/>
    <xf numFmtId="3" fontId="103" fillId="0" borderId="17" xfId="569" applyNumberFormat="1" applyFont="1" applyFill="1" applyBorder="1" applyAlignment="1">
      <alignment horizontal="right"/>
    </xf>
    <xf numFmtId="3" fontId="86" fillId="0" borderId="0" xfId="569" applyNumberFormat="1" applyFont="1" applyFill="1" applyBorder="1"/>
    <xf numFmtId="0" fontId="37" fillId="0" borderId="137" xfId="569" applyFont="1" applyFill="1" applyBorder="1" applyAlignment="1">
      <alignment vertical="top"/>
    </xf>
    <xf numFmtId="3" fontId="37" fillId="0" borderId="91" xfId="569" applyNumberFormat="1" applyFont="1" applyFill="1" applyBorder="1" applyAlignment="1">
      <alignment horizontal="center" vertical="center"/>
    </xf>
    <xf numFmtId="3" fontId="84" fillId="0" borderId="91" xfId="569" applyNumberFormat="1" applyFont="1" applyFill="1" applyBorder="1" applyAlignment="1">
      <alignment horizontal="center" vertical="center"/>
    </xf>
    <xf numFmtId="3" fontId="84" fillId="0" borderId="203" xfId="569" applyNumberFormat="1" applyFont="1" applyFill="1" applyBorder="1" applyAlignment="1">
      <alignment horizontal="center" vertical="center"/>
    </xf>
    <xf numFmtId="3" fontId="107" fillId="0" borderId="91" xfId="569" applyNumberFormat="1" applyFont="1" applyBorder="1" applyAlignment="1">
      <alignment horizontal="left"/>
    </xf>
    <xf numFmtId="49" fontId="100" fillId="0" borderId="277" xfId="0" applyNumberFormat="1" applyFont="1" applyBorder="1" applyAlignment="1">
      <alignment horizontal="center"/>
    </xf>
    <xf numFmtId="49" fontId="100" fillId="0" borderId="137" xfId="0" applyNumberFormat="1" applyFont="1" applyBorder="1" applyAlignment="1">
      <alignment horizontal="center"/>
    </xf>
    <xf numFmtId="0" fontId="100" fillId="0" borderId="107" xfId="0" applyFont="1" applyBorder="1"/>
    <xf numFmtId="0" fontId="100" fillId="0" borderId="114" xfId="0" applyFont="1" applyBorder="1"/>
    <xf numFmtId="3" fontId="100" fillId="0" borderId="152" xfId="0" applyNumberFormat="1" applyFont="1" applyBorder="1"/>
    <xf numFmtId="3" fontId="100" fillId="39" borderId="137" xfId="0" applyNumberFormat="1" applyFont="1" applyFill="1" applyBorder="1"/>
    <xf numFmtId="3" fontId="35" fillId="15" borderId="131" xfId="569" applyNumberFormat="1" applyFont="1" applyFill="1" applyBorder="1"/>
    <xf numFmtId="3" fontId="36" fillId="0" borderId="91" xfId="569" applyNumberFormat="1" applyFont="1" applyBorder="1" applyAlignment="1">
      <alignment horizontal="left"/>
    </xf>
    <xf numFmtId="3" fontId="108" fillId="0" borderId="144" xfId="569" applyNumberFormat="1" applyFont="1" applyFill="1" applyBorder="1"/>
    <xf numFmtId="3" fontId="115" fillId="0" borderId="147" xfId="569" applyNumberFormat="1" applyFont="1" applyFill="1" applyBorder="1" applyAlignment="1">
      <alignment horizontal="left"/>
    </xf>
    <xf numFmtId="3" fontId="36" fillId="0" borderId="147" xfId="569" applyNumberFormat="1" applyFont="1" applyFill="1" applyBorder="1" applyAlignment="1">
      <alignment horizontal="left"/>
    </xf>
    <xf numFmtId="3" fontId="36" fillId="0" borderId="273" xfId="569" applyNumberFormat="1" applyFont="1" applyFill="1" applyBorder="1" applyAlignment="1">
      <alignment horizontal="left"/>
    </xf>
    <xf numFmtId="3" fontId="116" fillId="0" borderId="278" xfId="569" applyNumberFormat="1" applyFont="1" applyFill="1" applyBorder="1"/>
    <xf numFmtId="3" fontId="115" fillId="0" borderId="84" xfId="571" applyNumberFormat="1" applyFont="1" applyFill="1" applyBorder="1" applyAlignment="1">
      <alignment horizontal="right"/>
    </xf>
    <xf numFmtId="3" fontId="106" fillId="4" borderId="89" xfId="569" applyNumberFormat="1" applyFont="1" applyFill="1" applyBorder="1"/>
    <xf numFmtId="0" fontId="107" fillId="0" borderId="165" xfId="569" applyFont="1" applyBorder="1"/>
    <xf numFmtId="3" fontId="107" fillId="0" borderId="122" xfId="569" applyNumberFormat="1" applyFont="1" applyBorder="1" applyAlignment="1">
      <alignment horizontal="left"/>
    </xf>
    <xf numFmtId="3" fontId="36" fillId="0" borderId="138" xfId="569" applyNumberFormat="1" applyFont="1" applyBorder="1" applyAlignment="1">
      <alignment horizontal="right"/>
    </xf>
    <xf numFmtId="3" fontId="36" fillId="0" borderId="279" xfId="569" applyNumberFormat="1" applyFont="1" applyBorder="1" applyAlignment="1">
      <alignment horizontal="right"/>
    </xf>
    <xf numFmtId="3" fontId="50" fillId="10" borderId="89" xfId="0" applyNumberFormat="1" applyFont="1" applyFill="1" applyBorder="1" applyAlignment="1"/>
    <xf numFmtId="3" fontId="50" fillId="29" borderId="158" xfId="0" applyNumberFormat="1" applyFont="1" applyFill="1" applyBorder="1"/>
    <xf numFmtId="3" fontId="61" fillId="8" borderId="17" xfId="0" applyNumberFormat="1" applyFont="1" applyFill="1" applyBorder="1" applyAlignment="1">
      <alignment horizontal="left"/>
    </xf>
    <xf numFmtId="0" fontId="44" fillId="0" borderId="98" xfId="0" applyFont="1" applyFill="1" applyBorder="1" applyAlignment="1">
      <alignment horizontal="center"/>
    </xf>
    <xf numFmtId="0" fontId="44" fillId="0" borderId="170" xfId="0" applyFont="1" applyBorder="1" applyAlignment="1">
      <alignment horizontal="center"/>
    </xf>
    <xf numFmtId="0" fontId="56" fillId="0" borderId="138" xfId="0" applyFont="1" applyBorder="1"/>
    <xf numFmtId="0" fontId="44" fillId="0" borderId="137" xfId="0" applyFont="1" applyBorder="1" applyAlignment="1">
      <alignment horizontal="center"/>
    </xf>
    <xf numFmtId="0" fontId="44" fillId="0" borderId="91" xfId="0" applyFont="1" applyBorder="1"/>
    <xf numFmtId="0" fontId="44" fillId="0" borderId="110" xfId="0" applyFont="1" applyBorder="1"/>
    <xf numFmtId="0" fontId="44" fillId="0" borderId="138" xfId="0" applyFont="1" applyBorder="1"/>
    <xf numFmtId="3" fontId="44" fillId="0" borderId="214" xfId="0" applyNumberFormat="1" applyFont="1" applyBorder="1"/>
    <xf numFmtId="3" fontId="44" fillId="0" borderId="84" xfId="0" applyNumberFormat="1" applyFont="1" applyBorder="1"/>
    <xf numFmtId="0" fontId="56" fillId="0" borderId="0" xfId="0" applyFont="1" applyBorder="1"/>
    <xf numFmtId="0" fontId="44" fillId="10" borderId="196" xfId="0" applyFont="1" applyFill="1" applyBorder="1" applyAlignment="1"/>
    <xf numFmtId="0" fontId="117" fillId="34" borderId="137" xfId="0" applyFont="1" applyFill="1" applyBorder="1"/>
    <xf numFmtId="0" fontId="53" fillId="10" borderId="138" xfId="0" applyFont="1" applyFill="1" applyBorder="1" applyAlignment="1"/>
    <xf numFmtId="0" fontId="56" fillId="32" borderId="137" xfId="0" applyFont="1" applyFill="1" applyBorder="1"/>
    <xf numFmtId="0" fontId="44" fillId="9" borderId="280" xfId="0" applyFont="1" applyFill="1" applyBorder="1" applyAlignment="1">
      <alignment horizontal="center"/>
    </xf>
    <xf numFmtId="0" fontId="26" fillId="9" borderId="281" xfId="0" applyFont="1" applyFill="1" applyBorder="1" applyAlignment="1">
      <alignment horizontal="left"/>
    </xf>
    <xf numFmtId="49" fontId="46" fillId="9" borderId="282" xfId="0" applyNumberFormat="1" applyFont="1" applyFill="1" applyBorder="1" applyAlignment="1">
      <alignment horizontal="center"/>
    </xf>
    <xf numFmtId="0" fontId="0" fillId="9" borderId="282" xfId="0" applyFont="1" applyFill="1" applyBorder="1"/>
    <xf numFmtId="0" fontId="0" fillId="9" borderId="283" xfId="0" applyFont="1" applyFill="1" applyBorder="1"/>
    <xf numFmtId="0" fontId="44" fillId="9" borderId="284" xfId="0" applyFont="1" applyFill="1" applyBorder="1" applyAlignment="1">
      <alignment horizontal="center"/>
    </xf>
    <xf numFmtId="167" fontId="0" fillId="9" borderId="278" xfId="0" applyNumberFormat="1" applyFont="1" applyFill="1" applyBorder="1" applyAlignment="1">
      <alignment horizontal="center"/>
    </xf>
    <xf numFmtId="1" fontId="0" fillId="9" borderId="147" xfId="0" applyNumberFormat="1" applyFont="1" applyFill="1" applyBorder="1" applyAlignment="1">
      <alignment horizontal="center" vertical="center"/>
    </xf>
    <xf numFmtId="3" fontId="52" fillId="7" borderId="285" xfId="0" applyNumberFormat="1" applyFont="1" applyFill="1" applyBorder="1"/>
    <xf numFmtId="3" fontId="52" fillId="27" borderId="286" xfId="0" applyNumberFormat="1" applyFont="1" applyFill="1" applyBorder="1"/>
    <xf numFmtId="3" fontId="52" fillId="29" borderId="287" xfId="0" applyNumberFormat="1" applyFont="1" applyFill="1" applyBorder="1"/>
    <xf numFmtId="0" fontId="56" fillId="0" borderId="200" xfId="0" applyFont="1" applyBorder="1"/>
    <xf numFmtId="0" fontId="44" fillId="0" borderId="277" xfId="0" applyFont="1" applyFill="1" applyBorder="1" applyAlignment="1">
      <alignment horizontal="center"/>
    </xf>
    <xf numFmtId="0" fontId="44" fillId="0" borderId="98" xfId="0" applyFont="1" applyBorder="1" applyAlignment="1">
      <alignment horizontal="center"/>
    </xf>
    <xf numFmtId="0" fontId="49" fillId="7" borderId="92" xfId="0" applyFont="1" applyFill="1" applyBorder="1" applyAlignment="1">
      <alignment horizontal="left" vertical="center"/>
    </xf>
    <xf numFmtId="0" fontId="49" fillId="7" borderId="93" xfId="0" applyFont="1" applyFill="1" applyBorder="1" applyAlignment="1">
      <alignment vertical="center"/>
    </xf>
    <xf numFmtId="0" fontId="57" fillId="7" borderId="93" xfId="0" applyFont="1" applyFill="1" applyBorder="1" applyAlignment="1"/>
    <xf numFmtId="0" fontId="49" fillId="7" borderId="93" xfId="0" applyFont="1" applyFill="1" applyBorder="1" applyAlignment="1"/>
    <xf numFmtId="0" fontId="57" fillId="7" borderId="275" xfId="0" applyFont="1" applyFill="1" applyBorder="1" applyAlignment="1"/>
    <xf numFmtId="167" fontId="49" fillId="7" borderId="288" xfId="0" applyNumberFormat="1" applyFont="1" applyFill="1" applyBorder="1" applyAlignment="1"/>
    <xf numFmtId="3" fontId="50" fillId="7" borderId="275" xfId="0" applyNumberFormat="1" applyFont="1" applyFill="1" applyBorder="1" applyAlignment="1"/>
    <xf numFmtId="3" fontId="50" fillId="7" borderId="289" xfId="0" applyNumberFormat="1" applyFont="1" applyFill="1" applyBorder="1" applyAlignment="1"/>
    <xf numFmtId="3" fontId="52" fillId="7" borderId="289" xfId="0" applyNumberFormat="1" applyFont="1" applyFill="1" applyBorder="1" applyAlignment="1"/>
    <xf numFmtId="3" fontId="55" fillId="7" borderId="290" xfId="0" applyNumberFormat="1" applyFont="1" applyFill="1" applyBorder="1" applyAlignment="1"/>
    <xf numFmtId="0" fontId="50" fillId="7" borderId="291" xfId="0" applyFont="1" applyFill="1" applyBorder="1"/>
    <xf numFmtId="0" fontId="51" fillId="0" borderId="291" xfId="0" applyFont="1" applyFill="1" applyBorder="1" applyAlignment="1">
      <alignment horizontal="center"/>
    </xf>
    <xf numFmtId="0" fontId="44" fillId="0" borderId="291" xfId="0" applyFont="1" applyBorder="1" applyAlignment="1">
      <alignment horizontal="center"/>
    </xf>
    <xf numFmtId="0" fontId="44" fillId="0" borderId="291" xfId="0" applyFont="1" applyFill="1" applyBorder="1" applyAlignment="1">
      <alignment horizontal="center"/>
    </xf>
    <xf numFmtId="0" fontId="51" fillId="8" borderId="291" xfId="0" applyFont="1" applyFill="1" applyBorder="1" applyAlignment="1">
      <alignment horizontal="center"/>
    </xf>
    <xf numFmtId="0" fontId="0" fillId="0" borderId="254" xfId="0" applyBorder="1" applyAlignment="1">
      <alignment horizontal="center"/>
    </xf>
    <xf numFmtId="0" fontId="51" fillId="10" borderId="152" xfId="0" applyFont="1" applyFill="1" applyBorder="1" applyAlignment="1">
      <alignment horizontal="center"/>
    </xf>
    <xf numFmtId="0" fontId="0" fillId="0" borderId="98" xfId="0" applyBorder="1" applyAlignment="1">
      <alignment horizontal="center"/>
    </xf>
    <xf numFmtId="0" fontId="0" fillId="0" borderId="170" xfId="0" applyBorder="1" applyAlignment="1">
      <alignment horizontal="center"/>
    </xf>
    <xf numFmtId="0" fontId="50" fillId="7" borderId="91" xfId="0" applyFont="1" applyFill="1" applyBorder="1"/>
    <xf numFmtId="0" fontId="0" fillId="7" borderId="84" xfId="0" applyFont="1" applyFill="1" applyBorder="1"/>
    <xf numFmtId="0" fontId="0" fillId="7" borderId="110" xfId="0" applyFont="1" applyFill="1" applyBorder="1"/>
    <xf numFmtId="3" fontId="52" fillId="34" borderId="137" xfId="0" applyNumberFormat="1" applyFont="1" applyFill="1" applyBorder="1"/>
    <xf numFmtId="3" fontId="52" fillId="34" borderId="203" xfId="0" applyNumberFormat="1" applyFont="1" applyFill="1" applyBorder="1"/>
    <xf numFmtId="3" fontId="44" fillId="32" borderId="137" xfId="0" applyNumberFormat="1" applyFont="1" applyFill="1" applyBorder="1"/>
    <xf numFmtId="3" fontId="44" fillId="32" borderId="203" xfId="0" applyNumberFormat="1" applyFont="1" applyFill="1" applyBorder="1"/>
    <xf numFmtId="3" fontId="44" fillId="0" borderId="200" xfId="0" applyNumberFormat="1" applyFont="1" applyBorder="1"/>
    <xf numFmtId="3" fontId="44" fillId="0" borderId="206" xfId="0" applyNumberFormat="1" applyFont="1" applyBorder="1"/>
    <xf numFmtId="3" fontId="101" fillId="33" borderId="292" xfId="0" applyNumberFormat="1" applyFont="1" applyFill="1" applyBorder="1" applyAlignment="1">
      <alignment horizontal="right"/>
    </xf>
    <xf numFmtId="3" fontId="101" fillId="33" borderId="292" xfId="0" applyNumberFormat="1" applyFont="1" applyFill="1" applyBorder="1"/>
    <xf numFmtId="3" fontId="101" fillId="33" borderId="293" xfId="0" applyNumberFormat="1" applyFont="1" applyFill="1" applyBorder="1"/>
    <xf numFmtId="3" fontId="101" fillId="33" borderId="90" xfId="0" applyNumberFormat="1" applyFont="1" applyFill="1" applyBorder="1"/>
    <xf numFmtId="3" fontId="101" fillId="33" borderId="294" xfId="0" applyNumberFormat="1" applyFont="1" applyFill="1" applyBorder="1"/>
    <xf numFmtId="3" fontId="101" fillId="33" borderId="295" xfId="0" applyNumberFormat="1" applyFont="1" applyFill="1" applyBorder="1"/>
    <xf numFmtId="3" fontId="44" fillId="0" borderId="204" xfId="0" applyNumberFormat="1" applyFont="1" applyBorder="1"/>
    <xf numFmtId="3" fontId="44" fillId="39" borderId="162" xfId="0" applyNumberFormat="1" applyFont="1" applyFill="1" applyBorder="1"/>
    <xf numFmtId="3" fontId="44" fillId="0" borderId="205" xfId="0" applyNumberFormat="1" applyFont="1" applyBorder="1"/>
    <xf numFmtId="0" fontId="36" fillId="0" borderId="151" xfId="569" applyFont="1" applyBorder="1"/>
    <xf numFmtId="0" fontId="36" fillId="0" borderId="107" xfId="569" applyFont="1" applyBorder="1"/>
    <xf numFmtId="0" fontId="36" fillId="0" borderId="106" xfId="569" applyFont="1" applyBorder="1"/>
    <xf numFmtId="49" fontId="44" fillId="0" borderId="131" xfId="0" applyNumberFormat="1" applyFont="1" applyFill="1" applyBorder="1" applyAlignment="1">
      <alignment horizontal="center"/>
    </xf>
    <xf numFmtId="0" fontId="50" fillId="0" borderId="123" xfId="0" applyFont="1" applyFill="1" applyBorder="1"/>
    <xf numFmtId="167" fontId="50" fillId="0" borderId="124" xfId="0" applyNumberFormat="1" applyFont="1" applyFill="1" applyBorder="1" applyAlignment="1"/>
    <xf numFmtId="3" fontId="44" fillId="0" borderId="118" xfId="0" applyNumberFormat="1" applyFont="1" applyFill="1" applyBorder="1" applyAlignment="1"/>
    <xf numFmtId="3" fontId="44" fillId="0" borderId="123" xfId="0" applyNumberFormat="1" applyFont="1" applyFill="1" applyBorder="1" applyAlignment="1"/>
    <xf numFmtId="3" fontId="44" fillId="0" borderId="125" xfId="0" applyNumberFormat="1" applyFont="1" applyFill="1" applyBorder="1" applyAlignment="1"/>
    <xf numFmtId="3" fontId="44" fillId="0" borderId="124" xfId="0" applyNumberFormat="1" applyFont="1" applyFill="1" applyBorder="1" applyAlignment="1"/>
    <xf numFmtId="3" fontId="37" fillId="4" borderId="214" xfId="569" applyNumberFormat="1" applyFont="1" applyFill="1" applyBorder="1"/>
    <xf numFmtId="0" fontId="36" fillId="0" borderId="57" xfId="569" applyFont="1" applyBorder="1"/>
    <xf numFmtId="0" fontId="36" fillId="0" borderId="201" xfId="569" applyFont="1" applyBorder="1" applyAlignment="1">
      <alignment horizontal="left"/>
    </xf>
    <xf numFmtId="0" fontId="36" fillId="0" borderId="57" xfId="569" applyFont="1" applyBorder="1" applyAlignment="1">
      <alignment horizontal="left"/>
    </xf>
    <xf numFmtId="4" fontId="86" fillId="0" borderId="23" xfId="569" applyNumberFormat="1" applyFont="1" applyBorder="1"/>
    <xf numFmtId="3" fontId="86" fillId="0" borderId="23" xfId="569" applyNumberFormat="1" applyFont="1" applyBorder="1"/>
    <xf numFmtId="3" fontId="84" fillId="0" borderId="52" xfId="569" applyNumberFormat="1" applyFont="1" applyFill="1" applyBorder="1" applyAlignment="1">
      <alignment horizontal="left"/>
    </xf>
    <xf numFmtId="0" fontId="36" fillId="0" borderId="57" xfId="569" applyFont="1" applyFill="1" applyBorder="1"/>
    <xf numFmtId="0" fontId="36" fillId="0" borderId="52" xfId="569" applyFont="1" applyBorder="1"/>
    <xf numFmtId="0" fontId="36" fillId="0" borderId="103" xfId="569" applyFont="1" applyBorder="1"/>
    <xf numFmtId="3" fontId="36" fillId="0" borderId="292" xfId="569" applyNumberFormat="1" applyFont="1" applyFill="1" applyBorder="1" applyAlignment="1">
      <alignment horizontal="right"/>
    </xf>
    <xf numFmtId="3" fontId="44" fillId="0" borderId="21" xfId="409" applyNumberFormat="1" applyFont="1" applyFill="1" applyBorder="1" applyAlignment="1">
      <alignment horizontal="right"/>
    </xf>
    <xf numFmtId="3" fontId="44" fillId="0" borderId="17" xfId="409" applyNumberFormat="1" applyFont="1" applyFill="1" applyBorder="1" applyAlignment="1">
      <alignment horizontal="right"/>
    </xf>
    <xf numFmtId="3" fontId="44" fillId="0" borderId="137" xfId="409" applyNumberFormat="1" applyFont="1" applyFill="1" applyBorder="1" applyAlignment="1">
      <alignment horizontal="right"/>
    </xf>
    <xf numFmtId="3" fontId="44" fillId="0" borderId="56" xfId="409" applyNumberFormat="1" applyFont="1" applyBorder="1"/>
    <xf numFmtId="3" fontId="44" fillId="0" borderId="137" xfId="409" applyNumberFormat="1" applyFont="1" applyFill="1" applyBorder="1"/>
    <xf numFmtId="3" fontId="44" fillId="0" borderId="34" xfId="409" applyNumberFormat="1" applyFont="1" applyFill="1" applyBorder="1" applyAlignment="1">
      <alignment horizontal="center"/>
    </xf>
    <xf numFmtId="3" fontId="44" fillId="0" borderId="57" xfId="409" applyNumberFormat="1" applyFont="1" applyBorder="1" applyAlignment="1">
      <alignment horizontal="center"/>
    </xf>
    <xf numFmtId="3" fontId="50" fillId="0" borderId="34" xfId="409" applyNumberFormat="1" applyFont="1" applyFill="1" applyBorder="1" applyAlignment="1">
      <alignment horizontal="right"/>
    </xf>
    <xf numFmtId="3" fontId="44" fillId="0" borderId="57" xfId="409" applyNumberFormat="1" applyFont="1" applyBorder="1" applyAlignment="1">
      <alignment horizontal="right"/>
    </xf>
    <xf numFmtId="3" fontId="44" fillId="0" borderId="34" xfId="409" applyNumberFormat="1" applyFont="1" applyBorder="1" applyAlignment="1">
      <alignment horizontal="right"/>
    </xf>
    <xf numFmtId="3" fontId="44" fillId="0" borderId="34" xfId="409" applyNumberFormat="1" applyFont="1" applyFill="1" applyBorder="1" applyAlignment="1">
      <alignment horizontal="left"/>
    </xf>
    <xf numFmtId="3" fontId="44" fillId="0" borderId="57" xfId="409" applyNumberFormat="1" applyFont="1" applyFill="1" applyBorder="1" applyAlignment="1">
      <alignment horizontal="left"/>
    </xf>
    <xf numFmtId="3" fontId="44" fillId="0" borderId="57" xfId="409" applyNumberFormat="1" applyFont="1" applyBorder="1" applyAlignment="1">
      <alignment horizontal="left"/>
    </xf>
    <xf numFmtId="3" fontId="44" fillId="0" borderId="34" xfId="409" applyNumberFormat="1" applyFont="1" applyBorder="1" applyAlignment="1">
      <alignment horizontal="left"/>
    </xf>
    <xf numFmtId="3" fontId="44" fillId="0" borderId="42" xfId="409" applyNumberFormat="1" applyFont="1" applyFill="1" applyBorder="1" applyAlignment="1">
      <alignment horizontal="center"/>
    </xf>
    <xf numFmtId="3" fontId="44" fillId="0" borderId="17" xfId="409" applyNumberFormat="1" applyFont="1" applyBorder="1" applyAlignment="1">
      <alignment horizontal="right"/>
    </xf>
    <xf numFmtId="3" fontId="44" fillId="40" borderId="17" xfId="409" applyNumberFormat="1" applyFont="1" applyFill="1" applyBorder="1" applyAlignment="1">
      <alignment horizontal="right"/>
    </xf>
    <xf numFmtId="3" fontId="44" fillId="0" borderId="0" xfId="409" applyNumberFormat="1" applyFont="1" applyBorder="1" applyAlignment="1">
      <alignment horizontal="right"/>
    </xf>
    <xf numFmtId="3" fontId="44" fillId="0" borderId="137" xfId="409" applyNumberFormat="1" applyFont="1" applyFill="1" applyBorder="1" applyAlignment="1">
      <alignment horizontal="right" vertical="center"/>
    </xf>
    <xf numFmtId="3" fontId="44" fillId="0" borderId="21" xfId="409" applyNumberFormat="1" applyFont="1" applyBorder="1" applyAlignment="1">
      <alignment horizontal="right"/>
    </xf>
    <xf numFmtId="3" fontId="44" fillId="0" borderId="110" xfId="409" applyNumberFormat="1" applyFont="1" applyBorder="1" applyAlignment="1">
      <alignment horizontal="right"/>
    </xf>
    <xf numFmtId="3" fontId="44" fillId="0" borderId="191" xfId="409" applyNumberFormat="1" applyFont="1" applyBorder="1" applyAlignment="1">
      <alignment horizontal="right"/>
    </xf>
    <xf numFmtId="3" fontId="44" fillId="0" borderId="191" xfId="409" applyNumberFormat="1" applyFont="1" applyBorder="1" applyAlignment="1"/>
    <xf numFmtId="3" fontId="44" fillId="0" borderId="217" xfId="409" applyNumberFormat="1" applyFont="1" applyBorder="1" applyAlignment="1">
      <alignment horizontal="right"/>
    </xf>
    <xf numFmtId="3" fontId="44" fillId="0" borderId="227" xfId="409" applyNumberFormat="1" applyFont="1" applyBorder="1" applyAlignment="1">
      <alignment horizontal="right"/>
    </xf>
    <xf numFmtId="3" fontId="44" fillId="40" borderId="227" xfId="409" applyNumberFormat="1" applyFont="1" applyFill="1" applyBorder="1" applyAlignment="1">
      <alignment horizontal="right"/>
    </xf>
    <xf numFmtId="3" fontId="44" fillId="0" borderId="104" xfId="409" applyNumberFormat="1" applyFont="1" applyFill="1" applyBorder="1" applyAlignment="1">
      <alignment horizontal="right"/>
    </xf>
    <xf numFmtId="3" fontId="44" fillId="0" borderId="191" xfId="409" applyNumberFormat="1" applyFont="1" applyFill="1" applyBorder="1" applyAlignment="1">
      <alignment horizontal="right"/>
    </xf>
    <xf numFmtId="3" fontId="44" fillId="0" borderId="190" xfId="409" applyNumberFormat="1" applyFont="1" applyBorder="1" applyAlignment="1">
      <alignment horizontal="right"/>
    </xf>
    <xf numFmtId="3" fontId="44" fillId="0" borderId="137" xfId="409" applyNumberFormat="1" applyFont="1" applyBorder="1"/>
    <xf numFmtId="3" fontId="44" fillId="0" borderId="228" xfId="409" applyNumberFormat="1" applyFont="1" applyBorder="1"/>
    <xf numFmtId="3" fontId="44" fillId="0" borderId="203" xfId="409" applyNumberFormat="1" applyFont="1" applyBorder="1"/>
    <xf numFmtId="3" fontId="44" fillId="0" borderId="228" xfId="409" applyNumberFormat="1" applyFont="1" applyBorder="1" applyAlignment="1">
      <alignment horizontal="right"/>
    </xf>
    <xf numFmtId="3" fontId="36" fillId="0" borderId="293" xfId="569" applyNumberFormat="1" applyFont="1" applyFill="1" applyBorder="1" applyAlignment="1">
      <alignment horizontal="right"/>
    </xf>
    <xf numFmtId="3" fontId="36" fillId="0" borderId="245" xfId="569" applyNumberFormat="1" applyFont="1" applyBorder="1" applyAlignment="1">
      <alignment horizontal="right"/>
    </xf>
    <xf numFmtId="3" fontId="44" fillId="0" borderId="203" xfId="409" applyNumberFormat="1" applyFont="1" applyBorder="1" applyAlignment="1">
      <alignment horizontal="right"/>
    </xf>
    <xf numFmtId="0" fontId="119" fillId="0" borderId="137" xfId="569" applyFont="1" applyBorder="1"/>
    <xf numFmtId="0" fontId="43" fillId="7" borderId="224" xfId="569" applyFont="1" applyFill="1" applyBorder="1" applyAlignment="1">
      <alignment horizontal="center"/>
    </xf>
    <xf numFmtId="0" fontId="68" fillId="0" borderId="20" xfId="569" applyFont="1" applyBorder="1"/>
    <xf numFmtId="0" fontId="68" fillId="0" borderId="21" xfId="569" applyFont="1" applyBorder="1"/>
    <xf numFmtId="3" fontId="36" fillId="0" borderId="296" xfId="569" applyNumberFormat="1" applyFont="1" applyBorder="1"/>
    <xf numFmtId="3" fontId="36" fillId="0" borderId="297" xfId="569" applyNumberFormat="1" applyFont="1" applyBorder="1"/>
    <xf numFmtId="3" fontId="36" fillId="0" borderId="217" xfId="569" applyNumberFormat="1" applyFont="1" applyBorder="1" applyAlignment="1">
      <alignment horizontal="right"/>
    </xf>
    <xf numFmtId="171" fontId="44" fillId="0" borderId="57" xfId="409" applyNumberFormat="1" applyFont="1" applyFill="1" applyBorder="1" applyAlignment="1">
      <alignment horizontal="right"/>
    </xf>
    <xf numFmtId="171" fontId="44" fillId="42" borderId="57" xfId="409" applyNumberFormat="1" applyFont="1" applyFill="1" applyBorder="1" applyAlignment="1">
      <alignment horizontal="right"/>
    </xf>
    <xf numFmtId="171" fontId="44" fillId="0" borderId="34" xfId="409" applyNumberFormat="1" applyFont="1" applyFill="1" applyBorder="1" applyAlignment="1">
      <alignment horizontal="right"/>
    </xf>
    <xf numFmtId="171" fontId="120" fillId="0" borderId="34" xfId="409" applyNumberFormat="1" applyFont="1" applyFill="1" applyBorder="1" applyAlignment="1">
      <alignment horizontal="right"/>
    </xf>
    <xf numFmtId="171" fontId="44" fillId="0" borderId="248" xfId="409" applyNumberFormat="1" applyFont="1" applyFill="1" applyBorder="1" applyAlignment="1">
      <alignment horizontal="right"/>
    </xf>
    <xf numFmtId="171" fontId="44" fillId="0" borderId="298" xfId="409" applyNumberFormat="1" applyFont="1" applyFill="1" applyBorder="1" applyAlignment="1">
      <alignment horizontal="right" vertical="center"/>
    </xf>
    <xf numFmtId="171" fontId="44" fillId="0" borderId="34" xfId="409" applyNumberFormat="1" applyFont="1" applyBorder="1" applyAlignment="1">
      <alignment horizontal="right"/>
    </xf>
    <xf numFmtId="171" fontId="44" fillId="0" borderId="42" xfId="409" applyNumberFormat="1" applyFont="1" applyBorder="1" applyAlignment="1">
      <alignment horizontal="right"/>
    </xf>
    <xf numFmtId="171" fontId="44" fillId="0" borderId="248" xfId="409" applyNumberFormat="1" applyFont="1" applyBorder="1" applyAlignment="1">
      <alignment horizontal="right"/>
    </xf>
    <xf numFmtId="171" fontId="44" fillId="0" borderId="299" xfId="409" applyNumberFormat="1" applyFont="1" applyFill="1" applyBorder="1" applyAlignment="1">
      <alignment horizontal="right" vertical="center"/>
    </xf>
    <xf numFmtId="171" fontId="44" fillId="0" borderId="34" xfId="409" applyNumberFormat="1" applyFont="1" applyBorder="1" applyAlignment="1">
      <alignment horizontal="left"/>
    </xf>
    <xf numFmtId="3" fontId="121" fillId="0" borderId="137" xfId="569" applyNumberFormat="1" applyFont="1" applyFill="1" applyBorder="1" applyAlignment="1">
      <alignment horizontal="left"/>
    </xf>
    <xf numFmtId="171" fontId="122" fillId="0" borderId="34" xfId="409" applyNumberFormat="1" applyFont="1" applyBorder="1" applyAlignment="1">
      <alignment horizontal="right"/>
    </xf>
    <xf numFmtId="3" fontId="121" fillId="0" borderId="191" xfId="569" applyNumberFormat="1" applyFont="1" applyBorder="1" applyAlignment="1">
      <alignment horizontal="left"/>
    </xf>
    <xf numFmtId="171" fontId="44" fillId="0" borderId="33" xfId="409" applyNumberFormat="1" applyFont="1" applyBorder="1" applyAlignment="1">
      <alignment horizontal="right"/>
    </xf>
    <xf numFmtId="171" fontId="44" fillId="0" borderId="0" xfId="409" applyNumberFormat="1" applyFont="1" applyFill="1" applyBorder="1" applyAlignment="1">
      <alignment horizontal="right"/>
    </xf>
    <xf numFmtId="171" fontId="44" fillId="0" borderId="94" xfId="409" applyNumberFormat="1" applyFont="1" applyFill="1" applyBorder="1" applyAlignment="1">
      <alignment horizontal="right" vertical="center"/>
    </xf>
    <xf numFmtId="171" fontId="44" fillId="0" borderId="57" xfId="409" applyNumberFormat="1" applyFont="1" applyBorder="1" applyAlignment="1">
      <alignment horizontal="right"/>
    </xf>
    <xf numFmtId="171" fontId="44" fillId="43" borderId="0" xfId="409" applyNumberFormat="1" applyFont="1" applyFill="1" applyBorder="1" applyAlignment="1">
      <alignment horizontal="right"/>
    </xf>
    <xf numFmtId="3" fontId="84" fillId="43" borderId="300" xfId="569" applyNumberFormat="1" applyFont="1" applyFill="1" applyBorder="1" applyAlignment="1">
      <alignment horizontal="right"/>
    </xf>
    <xf numFmtId="171" fontId="44" fillId="0" borderId="138" xfId="409" applyNumberFormat="1" applyFont="1" applyBorder="1" applyAlignment="1">
      <alignment horizontal="right"/>
    </xf>
    <xf numFmtId="171" fontId="44" fillId="0" borderId="101" xfId="409" applyNumberFormat="1" applyFont="1" applyBorder="1" applyAlignment="1">
      <alignment horizontal="right"/>
    </xf>
    <xf numFmtId="171" fontId="44" fillId="40" borderId="34" xfId="409" applyNumberFormat="1" applyFont="1" applyFill="1" applyBorder="1" applyAlignment="1">
      <alignment horizontal="right"/>
    </xf>
    <xf numFmtId="3" fontId="36" fillId="40" borderId="191" xfId="569" applyNumberFormat="1" applyFont="1" applyFill="1" applyBorder="1" applyAlignment="1">
      <alignment horizontal="left"/>
    </xf>
    <xf numFmtId="171" fontId="44" fillId="40" borderId="33" xfId="409" applyNumberFormat="1" applyFont="1" applyFill="1" applyBorder="1" applyAlignment="1">
      <alignment horizontal="right"/>
    </xf>
    <xf numFmtId="3" fontId="36" fillId="40" borderId="192" xfId="569" applyNumberFormat="1" applyFont="1" applyFill="1" applyBorder="1" applyAlignment="1">
      <alignment horizontal="left"/>
    </xf>
    <xf numFmtId="171" fontId="44" fillId="0" borderId="75" xfId="409" applyNumberFormat="1" applyFont="1" applyBorder="1" applyAlignment="1">
      <alignment horizontal="right"/>
    </xf>
    <xf numFmtId="3" fontId="36" fillId="0" borderId="255" xfId="569" applyNumberFormat="1" applyFont="1" applyFill="1" applyBorder="1" applyAlignment="1">
      <alignment horizontal="left"/>
    </xf>
    <xf numFmtId="3" fontId="36" fillId="0" borderId="104" xfId="569" applyNumberFormat="1" applyFont="1" applyBorder="1" applyAlignment="1">
      <alignment horizontal="left"/>
    </xf>
    <xf numFmtId="171" fontId="120" fillId="0" borderId="75" xfId="409" applyNumberFormat="1" applyFont="1" applyBorder="1" applyAlignment="1">
      <alignment horizontal="right"/>
    </xf>
    <xf numFmtId="171" fontId="120" fillId="0" borderId="34" xfId="409" applyNumberFormat="1" applyFont="1" applyBorder="1" applyAlignment="1">
      <alignment horizontal="right"/>
    </xf>
    <xf numFmtId="171" fontId="122" fillId="0" borderId="34" xfId="409" applyNumberFormat="1" applyFont="1" applyFill="1" applyBorder="1" applyAlignment="1">
      <alignment horizontal="right"/>
    </xf>
    <xf numFmtId="171" fontId="120" fillId="0" borderId="84" xfId="409" applyNumberFormat="1" applyFont="1" applyFill="1" applyBorder="1" applyAlignment="1">
      <alignment horizontal="right"/>
    </xf>
    <xf numFmtId="171" fontId="120" fillId="0" borderId="57" xfId="409" applyNumberFormat="1" applyFont="1" applyBorder="1" applyAlignment="1">
      <alignment horizontal="right"/>
    </xf>
    <xf numFmtId="3" fontId="36" fillId="0" borderId="117" xfId="569" applyNumberFormat="1" applyFont="1" applyFill="1" applyBorder="1" applyAlignment="1">
      <alignment horizontal="left"/>
    </xf>
    <xf numFmtId="3" fontId="36" fillId="0" borderId="267" xfId="569" applyNumberFormat="1" applyFont="1" applyBorder="1" applyAlignment="1">
      <alignment horizontal="left"/>
    </xf>
    <xf numFmtId="3" fontId="123" fillId="0" borderId="137" xfId="569" applyNumberFormat="1" applyFont="1" applyBorder="1" applyAlignment="1">
      <alignment horizontal="left"/>
    </xf>
    <xf numFmtId="171" fontId="44" fillId="0" borderId="84" xfId="409" applyNumberFormat="1" applyFont="1" applyBorder="1" applyAlignment="1">
      <alignment horizontal="right"/>
    </xf>
    <xf numFmtId="171" fontId="44" fillId="0" borderId="17" xfId="409" applyNumberFormat="1" applyFont="1" applyFill="1" applyBorder="1" applyAlignment="1">
      <alignment horizontal="right"/>
    </xf>
    <xf numFmtId="3" fontId="115" fillId="0" borderId="137" xfId="569" applyNumberFormat="1" applyFont="1" applyBorder="1" applyAlignment="1">
      <alignment horizontal="right"/>
    </xf>
    <xf numFmtId="171" fontId="120" fillId="0" borderId="21" xfId="409" applyNumberFormat="1" applyFont="1" applyFill="1" applyBorder="1" applyAlignment="1">
      <alignment horizontal="right"/>
    </xf>
    <xf numFmtId="3" fontId="115" fillId="0" borderId="137" xfId="569" applyNumberFormat="1" applyFont="1" applyBorder="1" applyAlignment="1">
      <alignment horizontal="left"/>
    </xf>
    <xf numFmtId="171" fontId="44" fillId="0" borderId="110" xfId="409" applyNumberFormat="1" applyFont="1" applyFill="1" applyBorder="1" applyAlignment="1">
      <alignment horizontal="right"/>
    </xf>
    <xf numFmtId="3" fontId="69" fillId="0" borderId="227" xfId="569" applyNumberFormat="1" applyFont="1" applyBorder="1"/>
    <xf numFmtId="171" fontId="44" fillId="0" borderId="110" xfId="409" applyNumberFormat="1" applyFont="1" applyBorder="1" applyAlignment="1">
      <alignment horizontal="right"/>
    </xf>
    <xf numFmtId="3" fontId="107" fillId="0" borderId="91" xfId="569" applyNumberFormat="1" applyFont="1" applyBorder="1"/>
    <xf numFmtId="171" fontId="44" fillId="0" borderId="110" xfId="409" applyNumberFormat="1" applyFont="1" applyBorder="1" applyAlignment="1">
      <alignment horizontal="left"/>
    </xf>
    <xf numFmtId="3" fontId="107" fillId="0" borderId="203" xfId="569" applyNumberFormat="1" applyFont="1" applyBorder="1" applyAlignment="1">
      <alignment horizontal="left"/>
    </xf>
    <xf numFmtId="1" fontId="44" fillId="0" borderId="110" xfId="409" applyNumberFormat="1" applyFont="1" applyBorder="1" applyAlignment="1">
      <alignment horizontal="right"/>
    </xf>
    <xf numFmtId="171" fontId="44" fillId="0" borderId="110" xfId="409" applyNumberFormat="1" applyFont="1" applyFill="1" applyBorder="1" applyAlignment="1">
      <alignment horizontal="right" vertical="center"/>
    </xf>
    <xf numFmtId="1" fontId="44" fillId="0" borderId="110" xfId="409" applyNumberFormat="1" applyFont="1" applyFill="1" applyBorder="1" applyAlignment="1">
      <alignment horizontal="right" vertical="center"/>
    </xf>
    <xf numFmtId="3" fontId="44" fillId="40" borderId="110" xfId="409" applyNumberFormat="1" applyFont="1" applyFill="1" applyBorder="1" applyAlignment="1">
      <alignment horizontal="right" vertical="center"/>
    </xf>
    <xf numFmtId="3" fontId="84" fillId="0" borderId="203" xfId="569" applyNumberFormat="1" applyFont="1" applyFill="1" applyBorder="1" applyAlignment="1">
      <alignment horizontal="right" vertical="center"/>
    </xf>
    <xf numFmtId="3" fontId="37" fillId="0" borderId="203" xfId="569" applyNumberFormat="1" applyFont="1" applyFill="1" applyBorder="1" applyAlignment="1">
      <alignment horizontal="right" vertical="center"/>
    </xf>
    <xf numFmtId="3" fontId="84" fillId="40" borderId="203" xfId="569" applyNumberFormat="1" applyFont="1" applyFill="1" applyBorder="1" applyAlignment="1">
      <alignment horizontal="right" vertical="center"/>
    </xf>
    <xf numFmtId="3" fontId="124" fillId="0" borderId="91" xfId="569" applyNumberFormat="1" applyFont="1" applyBorder="1"/>
    <xf numFmtId="3" fontId="124" fillId="0" borderId="203" xfId="569" applyNumberFormat="1" applyFont="1" applyBorder="1" applyAlignment="1">
      <alignment horizontal="left"/>
    </xf>
    <xf numFmtId="1" fontId="44" fillId="0" borderId="110" xfId="409" applyNumberFormat="1" applyFont="1" applyFill="1" applyBorder="1" applyAlignment="1">
      <alignment horizontal="right"/>
    </xf>
    <xf numFmtId="1" fontId="44" fillId="0" borderId="205" xfId="409" applyNumberFormat="1" applyFont="1" applyBorder="1" applyAlignment="1">
      <alignment horizontal="right"/>
    </xf>
    <xf numFmtId="1" fontId="36" fillId="0" borderId="203" xfId="569" applyNumberFormat="1" applyFont="1" applyBorder="1"/>
    <xf numFmtId="1" fontId="6" fillId="0" borderId="203" xfId="569" applyNumberFormat="1" applyFont="1" applyBorder="1"/>
    <xf numFmtId="3" fontId="36" fillId="40" borderId="191" xfId="569" applyNumberFormat="1" applyFont="1" applyFill="1" applyBorder="1"/>
    <xf numFmtId="3" fontId="44" fillId="0" borderId="0" xfId="409" applyNumberFormat="1" applyFont="1" applyFill="1" applyBorder="1"/>
    <xf numFmtId="3" fontId="36" fillId="0" borderId="201" xfId="569" applyNumberFormat="1" applyFont="1" applyBorder="1"/>
    <xf numFmtId="3" fontId="44" fillId="0" borderId="202" xfId="409" applyNumberFormat="1" applyFont="1" applyBorder="1"/>
    <xf numFmtId="0" fontId="36" fillId="0" borderId="152" xfId="569" applyFont="1" applyBorder="1" applyAlignment="1">
      <alignment horizontal="left"/>
    </xf>
    <xf numFmtId="3" fontId="44" fillId="0" borderId="112" xfId="409" applyNumberFormat="1" applyFont="1" applyBorder="1" applyAlignment="1">
      <alignment horizontal="right"/>
    </xf>
    <xf numFmtId="4" fontId="36" fillId="0" borderId="201" xfId="569" applyNumberFormat="1" applyFont="1" applyBorder="1"/>
    <xf numFmtId="0" fontId="86" fillId="0" borderId="137" xfId="569" applyFont="1" applyBorder="1" applyAlignment="1">
      <alignment horizontal="left"/>
    </xf>
    <xf numFmtId="4" fontId="84" fillId="0" borderId="75" xfId="569" applyNumberFormat="1" applyFont="1" applyFill="1" applyBorder="1" applyAlignment="1">
      <alignment horizontal="justify" vertical="top"/>
    </xf>
    <xf numFmtId="0" fontId="31" fillId="7" borderId="74" xfId="569" applyFont="1" applyFill="1" applyBorder="1"/>
    <xf numFmtId="0" fontId="84" fillId="0" borderId="137" xfId="569" applyFont="1" applyFill="1" applyBorder="1" applyAlignment="1">
      <alignment vertical="top"/>
    </xf>
    <xf numFmtId="0" fontId="36" fillId="0" borderId="75" xfId="569" applyFont="1" applyBorder="1"/>
    <xf numFmtId="0" fontId="36" fillId="0" borderId="34" xfId="569" applyFont="1" applyBorder="1"/>
    <xf numFmtId="0" fontId="36" fillId="0" borderId="170" xfId="569" applyFont="1" applyFill="1" applyBorder="1"/>
    <xf numFmtId="0" fontId="36" fillId="0" borderId="99" xfId="569" applyFont="1" applyFill="1" applyBorder="1"/>
    <xf numFmtId="0" fontId="36" fillId="0" borderId="98" xfId="569" applyFont="1" applyBorder="1"/>
    <xf numFmtId="3" fontId="36" fillId="0" borderId="109" xfId="569" applyNumberFormat="1" applyFont="1" applyBorder="1"/>
    <xf numFmtId="3" fontId="36" fillId="0" borderId="109" xfId="569" applyNumberFormat="1" applyFont="1" applyFill="1" applyBorder="1"/>
    <xf numFmtId="3" fontId="44" fillId="0" borderId="0" xfId="409" applyNumberFormat="1" applyFont="1" applyBorder="1"/>
    <xf numFmtId="3" fontId="36" fillId="0" borderId="111" xfId="569" applyNumberFormat="1" applyFont="1" applyFill="1" applyBorder="1" applyAlignment="1">
      <alignment horizontal="right"/>
    </xf>
    <xf numFmtId="3" fontId="36" fillId="0" borderId="204" xfId="569" applyNumberFormat="1" applyFont="1" applyFill="1" applyBorder="1" applyAlignment="1">
      <alignment horizontal="right"/>
    </xf>
    <xf numFmtId="3" fontId="44" fillId="0" borderId="110" xfId="409" applyNumberFormat="1" applyFont="1" applyFill="1" applyBorder="1" applyAlignment="1">
      <alignment horizontal="right"/>
    </xf>
    <xf numFmtId="3" fontId="36" fillId="0" borderId="184" xfId="569" applyNumberFormat="1" applyFont="1" applyFill="1" applyBorder="1" applyAlignment="1">
      <alignment horizontal="right"/>
    </xf>
    <xf numFmtId="3" fontId="44" fillId="0" borderId="137" xfId="409" applyNumberFormat="1" applyFont="1" applyFill="1" applyBorder="1" applyAlignment="1">
      <alignment horizontal="right" vertical="top"/>
    </xf>
    <xf numFmtId="3" fontId="84" fillId="0" borderId="181" xfId="569" applyNumberFormat="1" applyFont="1" applyFill="1" applyBorder="1" applyAlignment="1">
      <alignment horizontal="left"/>
    </xf>
    <xf numFmtId="3" fontId="37" fillId="0" borderId="181" xfId="569" applyNumberFormat="1" applyFont="1" applyFill="1" applyBorder="1" applyAlignment="1">
      <alignment horizontal="right"/>
    </xf>
    <xf numFmtId="3" fontId="44" fillId="0" borderId="34" xfId="409" applyNumberFormat="1" applyFont="1" applyFill="1" applyBorder="1" applyAlignment="1">
      <alignment horizontal="right"/>
    </xf>
    <xf numFmtId="3" fontId="44" fillId="0" borderId="75" xfId="409" applyNumberFormat="1" applyFont="1" applyBorder="1" applyAlignment="1">
      <alignment horizontal="right"/>
    </xf>
    <xf numFmtId="3" fontId="44" fillId="0" borderId="64" xfId="409" applyNumberFormat="1" applyFont="1" applyFill="1" applyBorder="1" applyAlignment="1">
      <alignment horizontal="right"/>
    </xf>
    <xf numFmtId="3" fontId="44" fillId="0" borderId="57" xfId="409" applyNumberFormat="1" applyFont="1" applyFill="1" applyBorder="1" applyAlignment="1">
      <alignment horizontal="right"/>
    </xf>
    <xf numFmtId="3" fontId="44" fillId="0" borderId="248" xfId="409" applyNumberFormat="1" applyFont="1" applyFill="1" applyBorder="1" applyAlignment="1">
      <alignment horizontal="right"/>
    </xf>
    <xf numFmtId="3" fontId="44" fillId="0" borderId="218" xfId="409" applyNumberFormat="1" applyFont="1" applyFill="1" applyBorder="1" applyAlignment="1">
      <alignment horizontal="right"/>
    </xf>
    <xf numFmtId="3" fontId="44" fillId="0" borderId="75" xfId="409" applyNumberFormat="1" applyFont="1" applyFill="1" applyBorder="1" applyAlignment="1">
      <alignment horizontal="right"/>
    </xf>
    <xf numFmtId="0" fontId="44" fillId="0" borderId="141" xfId="0" applyFont="1" applyBorder="1"/>
    <xf numFmtId="171" fontId="126" fillId="0" borderId="34" xfId="409" applyNumberFormat="1" applyFont="1" applyBorder="1" applyAlignment="1">
      <alignment horizontal="right"/>
    </xf>
    <xf numFmtId="0" fontId="127" fillId="0" borderId="180" xfId="569" applyFont="1" applyBorder="1"/>
    <xf numFmtId="3" fontId="36" fillId="0" borderId="21" xfId="569" applyNumberFormat="1" applyFont="1" applyFill="1" applyBorder="1" applyAlignment="1">
      <alignment horizontal="left"/>
    </xf>
    <xf numFmtId="3" fontId="128" fillId="0" borderId="21" xfId="569" applyNumberFormat="1" applyFont="1" applyFill="1" applyBorder="1" applyAlignment="1">
      <alignment horizontal="left"/>
    </xf>
    <xf numFmtId="171" fontId="118" fillId="0" borderId="57" xfId="409" applyNumberFormat="1" applyFont="1" applyBorder="1" applyAlignment="1">
      <alignment horizontal="right"/>
    </xf>
    <xf numFmtId="3" fontId="128" fillId="0" borderId="228" xfId="569" applyNumberFormat="1" applyFont="1" applyBorder="1" applyAlignment="1">
      <alignment horizontal="left"/>
    </xf>
    <xf numFmtId="3" fontId="84" fillId="0" borderId="84" xfId="569" applyNumberFormat="1" applyFont="1" applyFill="1" applyBorder="1" applyAlignment="1">
      <alignment horizontal="center" vertical="center"/>
    </xf>
    <xf numFmtId="0" fontId="84" fillId="0" borderId="137" xfId="569" applyFont="1" applyFill="1" applyBorder="1" applyAlignment="1">
      <alignment horizontal="left" vertical="top"/>
    </xf>
    <xf numFmtId="3" fontId="74" fillId="0" borderId="103" xfId="569" applyNumberFormat="1" applyFont="1" applyFill="1" applyBorder="1" applyAlignment="1">
      <alignment horizontal="right"/>
    </xf>
    <xf numFmtId="3" fontId="71" fillId="0" borderId="137" xfId="569" applyNumberFormat="1" applyFont="1" applyFill="1" applyBorder="1"/>
    <xf numFmtId="3" fontId="74" fillId="0" borderId="56" xfId="569" applyNumberFormat="1" applyFont="1" applyFill="1" applyBorder="1"/>
    <xf numFmtId="3" fontId="74" fillId="0" borderId="137" xfId="569" applyNumberFormat="1" applyFont="1" applyFill="1" applyBorder="1"/>
    <xf numFmtId="3" fontId="84" fillId="0" borderId="110" xfId="569" applyNumberFormat="1" applyFont="1" applyFill="1" applyBorder="1" applyAlignment="1">
      <alignment horizontal="right"/>
    </xf>
    <xf numFmtId="3" fontId="84" fillId="0" borderId="114" xfId="569" applyNumberFormat="1" applyFont="1" applyFill="1" applyBorder="1"/>
    <xf numFmtId="3" fontId="36" fillId="41" borderId="137" xfId="569" applyNumberFormat="1" applyFont="1" applyFill="1" applyBorder="1"/>
    <xf numFmtId="3" fontId="37" fillId="0" borderId="137" xfId="569" applyNumberFormat="1" applyFont="1" applyFill="1" applyBorder="1"/>
    <xf numFmtId="3" fontId="74" fillId="0" borderId="137" xfId="569" applyNumberFormat="1" applyFont="1" applyFill="1" applyBorder="1" applyAlignment="1">
      <alignment horizontal="right"/>
    </xf>
    <xf numFmtId="3" fontId="6" fillId="0" borderId="137" xfId="569" applyNumberFormat="1" applyFont="1" applyFill="1" applyBorder="1"/>
    <xf numFmtId="3" fontId="36" fillId="0" borderId="84" xfId="569" applyNumberFormat="1" applyFont="1" applyFill="1" applyBorder="1"/>
    <xf numFmtId="3" fontId="36" fillId="0" borderId="84" xfId="569" applyNumberFormat="1" applyFont="1" applyFill="1" applyBorder="1" applyAlignment="1">
      <alignment horizontal="right"/>
    </xf>
    <xf numFmtId="3" fontId="36" fillId="0" borderId="84" xfId="569" applyNumberFormat="1" applyFont="1" applyFill="1" applyBorder="1" applyAlignment="1">
      <alignment horizontal="left"/>
    </xf>
    <xf numFmtId="3" fontId="36" fillId="0" borderId="155" xfId="569" applyNumberFormat="1" applyFont="1" applyFill="1" applyBorder="1"/>
    <xf numFmtId="3" fontId="69" fillId="0" borderId="84" xfId="569" applyNumberFormat="1" applyFont="1" applyFill="1" applyBorder="1" applyAlignment="1">
      <alignment horizontal="right"/>
    </xf>
    <xf numFmtId="3" fontId="69" fillId="0" borderId="84" xfId="569" applyNumberFormat="1" applyFont="1" applyFill="1" applyBorder="1" applyAlignment="1">
      <alignment horizontal="left"/>
    </xf>
    <xf numFmtId="3" fontId="37" fillId="0" borderId="145" xfId="569" applyNumberFormat="1" applyFont="1" applyBorder="1" applyAlignment="1">
      <alignment horizontal="right"/>
    </xf>
    <xf numFmtId="3" fontId="36" fillId="0" borderId="145" xfId="569" applyNumberFormat="1" applyFont="1" applyBorder="1" applyAlignment="1">
      <alignment horizontal="right"/>
    </xf>
    <xf numFmtId="0" fontId="37" fillId="0" borderId="137" xfId="569" applyFont="1" applyBorder="1"/>
    <xf numFmtId="0" fontId="37" fillId="0" borderId="137" xfId="569" applyFont="1" applyFill="1" applyBorder="1"/>
    <xf numFmtId="0" fontId="36" fillId="0" borderId="189" xfId="569" applyFont="1" applyFill="1" applyBorder="1"/>
    <xf numFmtId="3" fontId="36" fillId="0" borderId="189" xfId="569" applyNumberFormat="1" applyFont="1" applyFill="1" applyBorder="1"/>
    <xf numFmtId="3" fontId="89" fillId="0" borderId="91" xfId="569" applyNumberFormat="1" applyFont="1" applyFill="1" applyBorder="1" applyAlignment="1">
      <alignment horizontal="right"/>
    </xf>
    <xf numFmtId="3" fontId="84" fillId="0" borderId="112" xfId="569" applyNumberFormat="1" applyFont="1" applyFill="1" applyBorder="1"/>
    <xf numFmtId="0" fontId="89" fillId="0" borderId="137" xfId="569" applyFont="1" applyFill="1" applyBorder="1"/>
    <xf numFmtId="0" fontId="38" fillId="0" borderId="137" xfId="569" applyFont="1" applyFill="1" applyBorder="1"/>
    <xf numFmtId="3" fontId="84" fillId="0" borderId="201" xfId="569" applyNumberFormat="1" applyFont="1" applyFill="1" applyBorder="1" applyAlignment="1">
      <alignment horizontal="right"/>
    </xf>
    <xf numFmtId="3" fontId="36" fillId="0" borderId="182" xfId="569" applyNumberFormat="1" applyFont="1" applyFill="1" applyBorder="1"/>
    <xf numFmtId="3" fontId="36" fillId="0" borderId="102" xfId="569" applyNumberFormat="1" applyFont="1" applyBorder="1"/>
    <xf numFmtId="3" fontId="114" fillId="0" borderId="91" xfId="569" applyNumberFormat="1" applyFont="1" applyFill="1" applyBorder="1" applyAlignment="1">
      <alignment horizontal="left"/>
    </xf>
    <xf numFmtId="0" fontId="37" fillId="0" borderId="63" xfId="569" applyFont="1" applyFill="1" applyBorder="1" applyAlignment="1">
      <alignment horizontal="right"/>
    </xf>
    <xf numFmtId="0" fontId="37" fillId="0" borderId="64" xfId="569" applyFont="1" applyFill="1" applyBorder="1"/>
    <xf numFmtId="0" fontId="37" fillId="0" borderId="182" xfId="569" applyFont="1" applyFill="1" applyBorder="1"/>
    <xf numFmtId="0" fontId="71" fillId="0" borderId="84" xfId="569" applyFont="1" applyFill="1" applyBorder="1"/>
    <xf numFmtId="0" fontId="109" fillId="0" borderId="91" xfId="569" applyFont="1" applyFill="1" applyBorder="1"/>
    <xf numFmtId="0" fontId="84" fillId="0" borderId="141" xfId="569" applyFont="1" applyFill="1" applyBorder="1" applyAlignment="1">
      <alignment horizontal="left"/>
    </xf>
    <xf numFmtId="0" fontId="84" fillId="0" borderId="91" xfId="569" applyFont="1" applyBorder="1"/>
    <xf numFmtId="0" fontId="84" fillId="0" borderId="91" xfId="569" applyFont="1" applyFill="1" applyBorder="1" applyAlignment="1">
      <alignment horizontal="left"/>
    </xf>
    <xf numFmtId="0" fontId="127" fillId="0" borderId="91" xfId="569" applyFont="1" applyBorder="1"/>
    <xf numFmtId="0" fontId="108" fillId="0" borderId="91" xfId="569" applyFont="1" applyFill="1" applyBorder="1"/>
    <xf numFmtId="0" fontId="71" fillId="0" borderId="91" xfId="569" applyFont="1" applyFill="1" applyBorder="1"/>
    <xf numFmtId="0" fontId="74" fillId="0" borderId="91" xfId="569" applyFont="1" applyFill="1" applyBorder="1"/>
    <xf numFmtId="0" fontId="36" fillId="0" borderId="91" xfId="569" applyFont="1" applyBorder="1"/>
    <xf numFmtId="0" fontId="84" fillId="0" borderId="91" xfId="569" applyFont="1" applyFill="1" applyBorder="1"/>
    <xf numFmtId="0" fontId="84" fillId="0" borderId="111" xfId="569" applyFont="1" applyFill="1" applyBorder="1"/>
    <xf numFmtId="0" fontId="36" fillId="0" borderId="109" xfId="569" applyFont="1" applyBorder="1"/>
    <xf numFmtId="0" fontId="74" fillId="0" borderId="111" xfId="569" applyFont="1" applyFill="1" applyBorder="1"/>
    <xf numFmtId="0" fontId="84" fillId="0" borderId="109" xfId="569" applyFont="1" applyFill="1" applyBorder="1"/>
    <xf numFmtId="0" fontId="84" fillId="0" borderId="179" xfId="569" applyFont="1" applyBorder="1"/>
    <xf numFmtId="3" fontId="125" fillId="0" borderId="137" xfId="569" applyNumberFormat="1" applyFont="1" applyFill="1" applyBorder="1"/>
    <xf numFmtId="3" fontId="110" fillId="0" borderId="137" xfId="569" applyNumberFormat="1" applyFont="1" applyFill="1" applyBorder="1" applyAlignment="1">
      <alignment horizontal="left"/>
    </xf>
    <xf numFmtId="3" fontId="86" fillId="0" borderId="137" xfId="571" applyNumberFormat="1" applyFont="1" applyFill="1" applyBorder="1" applyAlignment="1">
      <alignment horizontal="right"/>
    </xf>
    <xf numFmtId="3" fontId="116" fillId="0" borderId="137" xfId="569" applyNumberFormat="1" applyFont="1" applyFill="1" applyBorder="1"/>
    <xf numFmtId="3" fontId="115" fillId="0" borderId="137" xfId="569" applyNumberFormat="1" applyFont="1" applyFill="1" applyBorder="1" applyAlignment="1">
      <alignment horizontal="left"/>
    </xf>
    <xf numFmtId="3" fontId="128" fillId="0" borderId="137" xfId="569" applyNumberFormat="1" applyFont="1" applyFill="1" applyBorder="1" applyAlignment="1">
      <alignment horizontal="left"/>
    </xf>
    <xf numFmtId="3" fontId="111" fillId="0" borderId="137" xfId="569" applyNumberFormat="1" applyFont="1" applyFill="1" applyBorder="1" applyAlignment="1">
      <alignment horizontal="right"/>
    </xf>
    <xf numFmtId="3" fontId="97" fillId="40" borderId="137" xfId="569" applyNumberFormat="1" applyFont="1" applyFill="1" applyBorder="1" applyAlignment="1">
      <alignment horizontal="left"/>
    </xf>
    <xf numFmtId="3" fontId="67" fillId="0" borderId="137" xfId="569" applyNumberFormat="1" applyFont="1" applyFill="1" applyBorder="1" applyAlignment="1">
      <alignment horizontal="left"/>
    </xf>
    <xf numFmtId="3" fontId="67" fillId="41" borderId="137" xfId="569" applyNumberFormat="1" applyFont="1" applyFill="1" applyBorder="1" applyAlignment="1">
      <alignment horizontal="left"/>
    </xf>
    <xf numFmtId="0" fontId="37" fillId="0" borderId="20" xfId="569" applyFont="1" applyFill="1" applyBorder="1"/>
    <xf numFmtId="0" fontId="37" fillId="0" borderId="21" xfId="569" applyFont="1" applyBorder="1"/>
    <xf numFmtId="3" fontId="36" fillId="0" borderId="201" xfId="569" applyNumberFormat="1" applyFont="1" applyFill="1" applyBorder="1" applyAlignment="1">
      <alignment horizontal="left"/>
    </xf>
    <xf numFmtId="0" fontId="84" fillId="0" borderId="63" xfId="569" applyFont="1" applyBorder="1"/>
    <xf numFmtId="0" fontId="84" fillId="0" borderId="64" xfId="569" applyFont="1" applyFill="1" applyBorder="1" applyAlignment="1">
      <alignment vertical="top"/>
    </xf>
    <xf numFmtId="0" fontId="84" fillId="0" borderId="189" xfId="569" applyFont="1" applyFill="1" applyBorder="1" applyAlignment="1">
      <alignment horizontal="left"/>
    </xf>
    <xf numFmtId="3" fontId="37" fillId="15" borderId="137" xfId="569" applyNumberFormat="1" applyFont="1" applyFill="1" applyBorder="1" applyAlignment="1">
      <alignment horizontal="right"/>
    </xf>
    <xf numFmtId="0" fontId="36" fillId="0" borderId="137" xfId="569" applyFont="1" applyFill="1" applyBorder="1" applyAlignment="1">
      <alignment horizontal="left"/>
    </xf>
    <xf numFmtId="0" fontId="108" fillId="0" borderId="137" xfId="569" applyFont="1" applyFill="1" applyBorder="1" applyAlignment="1">
      <alignment horizontal="right"/>
    </xf>
    <xf numFmtId="3" fontId="69" fillId="0" borderId="137" xfId="569" applyNumberFormat="1" applyFont="1" applyFill="1" applyBorder="1"/>
    <xf numFmtId="3" fontId="84" fillId="0" borderId="0" xfId="569" applyNumberFormat="1" applyFont="1" applyFill="1" applyBorder="1"/>
    <xf numFmtId="3" fontId="103" fillId="0" borderId="137" xfId="569" applyNumberFormat="1" applyFont="1" applyFill="1" applyBorder="1" applyAlignment="1">
      <alignment horizontal="right"/>
    </xf>
    <xf numFmtId="0" fontId="69" fillId="0" borderId="179" xfId="569" applyFont="1" applyFill="1" applyBorder="1"/>
    <xf numFmtId="3" fontId="87" fillId="0" borderId="137" xfId="569" applyNumberFormat="1" applyFont="1" applyFill="1" applyBorder="1" applyAlignment="1">
      <alignment horizontal="left"/>
    </xf>
    <xf numFmtId="3" fontId="36" fillId="41" borderId="110" xfId="569" applyNumberFormat="1" applyFont="1" applyFill="1" applyBorder="1"/>
    <xf numFmtId="3" fontId="36" fillId="0" borderId="84" xfId="569" applyNumberFormat="1" applyFont="1" applyBorder="1"/>
    <xf numFmtId="3" fontId="37" fillId="4" borderId="84" xfId="569" applyNumberFormat="1" applyFont="1" applyFill="1" applyBorder="1"/>
    <xf numFmtId="3" fontId="67" fillId="0" borderId="84" xfId="569" applyNumberFormat="1" applyFont="1" applyBorder="1" applyAlignment="1">
      <alignment horizontal="left"/>
    </xf>
    <xf numFmtId="3" fontId="6" fillId="0" borderId="84" xfId="569" applyNumberFormat="1" applyFont="1" applyBorder="1"/>
    <xf numFmtId="3" fontId="107" fillId="0" borderId="84" xfId="569" applyNumberFormat="1" applyFont="1" applyBorder="1"/>
    <xf numFmtId="3" fontId="89" fillId="0" borderId="84" xfId="569" applyNumberFormat="1" applyFont="1" applyBorder="1"/>
    <xf numFmtId="4" fontId="36" fillId="0" borderId="84" xfId="569" applyNumberFormat="1" applyFont="1" applyBorder="1"/>
    <xf numFmtId="3" fontId="107" fillId="0" borderId="84" xfId="569" applyNumberFormat="1" applyFont="1" applyBorder="1" applyAlignment="1">
      <alignment horizontal="left"/>
    </xf>
    <xf numFmtId="3" fontId="90" fillId="0" borderId="84" xfId="569" applyNumberFormat="1" applyFont="1" applyBorder="1"/>
    <xf numFmtId="3" fontId="31" fillId="0" borderId="84" xfId="569" applyNumberFormat="1" applyFont="1" applyFill="1" applyBorder="1" applyAlignment="1">
      <alignment horizontal="center" vertical="center"/>
    </xf>
    <xf numFmtId="3" fontId="84" fillId="0" borderId="84" xfId="569" applyNumberFormat="1" applyFont="1" applyFill="1" applyBorder="1"/>
    <xf numFmtId="3" fontId="35" fillId="38" borderId="84" xfId="569" applyNumberFormat="1" applyFont="1" applyFill="1" applyBorder="1"/>
    <xf numFmtId="3" fontId="36" fillId="0" borderId="155" xfId="569" applyNumberFormat="1" applyFont="1" applyBorder="1"/>
    <xf numFmtId="3" fontId="89" fillId="0" borderId="137" xfId="569" applyNumberFormat="1" applyFont="1" applyFill="1" applyBorder="1"/>
    <xf numFmtId="3" fontId="84" fillId="0" borderId="137" xfId="569" applyNumberFormat="1" applyFont="1" applyFill="1" applyBorder="1" applyAlignment="1">
      <alignment horizontal="center" vertical="center"/>
    </xf>
    <xf numFmtId="3" fontId="84" fillId="0" borderId="17" xfId="569" applyNumberFormat="1" applyFont="1" applyFill="1" applyBorder="1" applyAlignment="1">
      <alignment horizontal="right"/>
    </xf>
    <xf numFmtId="3" fontId="107" fillId="0" borderId="137" xfId="569" applyNumberFormat="1" applyFont="1" applyFill="1" applyBorder="1"/>
    <xf numFmtId="3" fontId="84" fillId="0" borderId="84" xfId="569" applyNumberFormat="1" applyFont="1" applyFill="1" applyBorder="1" applyAlignment="1">
      <alignment horizontal="right"/>
    </xf>
    <xf numFmtId="3" fontId="0" fillId="0" borderId="137" xfId="0" applyNumberFormat="1" applyFill="1" applyBorder="1"/>
    <xf numFmtId="3" fontId="44" fillId="0" borderId="137" xfId="0" applyNumberFormat="1" applyFont="1" applyFill="1" applyBorder="1"/>
    <xf numFmtId="3" fontId="121" fillId="0" borderId="91" xfId="569" applyNumberFormat="1" applyFont="1" applyFill="1" applyBorder="1" applyAlignment="1">
      <alignment horizontal="left"/>
    </xf>
    <xf numFmtId="3" fontId="84" fillId="0" borderId="138" xfId="569" applyNumberFormat="1" applyFont="1" applyFill="1" applyBorder="1"/>
    <xf numFmtId="3" fontId="88" fillId="0" borderId="84" xfId="569" applyNumberFormat="1" applyFont="1" applyFill="1" applyBorder="1" applyAlignment="1">
      <alignment horizontal="left"/>
    </xf>
    <xf numFmtId="3" fontId="6" fillId="0" borderId="84" xfId="569" applyNumberFormat="1" applyFont="1" applyFill="1" applyBorder="1" applyAlignment="1">
      <alignment horizontal="right"/>
    </xf>
    <xf numFmtId="3" fontId="43" fillId="0" borderId="84" xfId="569" applyNumberFormat="1" applyFont="1" applyFill="1" applyBorder="1" applyAlignment="1">
      <alignment horizontal="center" vertical="center"/>
    </xf>
    <xf numFmtId="3" fontId="84" fillId="0" borderId="107" xfId="569" applyNumberFormat="1" applyFont="1" applyFill="1" applyBorder="1" applyAlignment="1">
      <alignment horizontal="right"/>
    </xf>
    <xf numFmtId="3" fontId="36" fillId="0" borderId="107" xfId="569" applyNumberFormat="1" applyFont="1" applyFill="1" applyBorder="1" applyAlignment="1">
      <alignment horizontal="left"/>
    </xf>
    <xf numFmtId="3" fontId="89" fillId="0" borderId="84" xfId="569" applyNumberFormat="1" applyFont="1" applyFill="1" applyBorder="1" applyAlignment="1">
      <alignment horizontal="left"/>
    </xf>
    <xf numFmtId="3" fontId="84" fillId="0" borderId="84" xfId="569" applyNumberFormat="1" applyFont="1" applyFill="1" applyBorder="1" applyAlignment="1">
      <alignment horizontal="left"/>
    </xf>
    <xf numFmtId="3" fontId="114" fillId="0" borderId="84" xfId="569" applyNumberFormat="1" applyFont="1" applyFill="1" applyBorder="1" applyAlignment="1">
      <alignment horizontal="left"/>
    </xf>
    <xf numFmtId="3" fontId="107" fillId="0" borderId="137" xfId="569" applyNumberFormat="1" applyFont="1" applyFill="1" applyBorder="1" applyAlignment="1">
      <alignment horizontal="left"/>
    </xf>
    <xf numFmtId="3" fontId="36" fillId="0" borderId="138" xfId="569" applyNumberFormat="1" applyFont="1" applyFill="1" applyBorder="1" applyAlignment="1">
      <alignment horizontal="left"/>
    </xf>
    <xf numFmtId="3" fontId="108" fillId="0" borderId="64" xfId="569" applyNumberFormat="1" applyFont="1" applyFill="1" applyBorder="1"/>
    <xf numFmtId="3" fontId="108" fillId="0" borderId="17" xfId="569" applyNumberFormat="1" applyFont="1" applyFill="1" applyBorder="1"/>
    <xf numFmtId="3" fontId="125" fillId="0" borderId="17" xfId="569" applyNumberFormat="1" applyFont="1" applyFill="1" applyBorder="1"/>
    <xf numFmtId="3" fontId="116" fillId="0" borderId="64" xfId="569" applyNumberFormat="1" applyFont="1" applyFill="1" applyBorder="1"/>
    <xf numFmtId="3" fontId="115" fillId="0" borderId="21" xfId="569" applyNumberFormat="1" applyFont="1" applyFill="1" applyBorder="1" applyAlignment="1">
      <alignment horizontal="left"/>
    </xf>
    <xf numFmtId="3" fontId="36" fillId="0" borderId="102" xfId="569" applyNumberFormat="1" applyFont="1" applyFill="1" applyBorder="1" applyAlignment="1">
      <alignment horizontal="left"/>
    </xf>
    <xf numFmtId="3" fontId="115" fillId="0" borderId="137" xfId="571" applyNumberFormat="1" applyFont="1" applyFill="1" applyBorder="1" applyAlignment="1">
      <alignment horizontal="right"/>
    </xf>
    <xf numFmtId="3" fontId="97" fillId="0" borderId="255" xfId="569" applyNumberFormat="1" applyFont="1" applyFill="1" applyBorder="1" applyAlignment="1">
      <alignment horizontal="left"/>
    </xf>
    <xf numFmtId="3" fontId="113" fillId="0" borderId="137" xfId="569" applyNumberFormat="1" applyFont="1" applyFill="1" applyBorder="1" applyAlignment="1">
      <alignment horizontal="left"/>
    </xf>
    <xf numFmtId="3" fontId="37" fillId="4" borderId="138" xfId="569" applyNumberFormat="1" applyFont="1" applyFill="1" applyBorder="1"/>
    <xf numFmtId="3" fontId="105" fillId="0" borderId="137" xfId="569" applyNumberFormat="1" applyFont="1" applyFill="1" applyBorder="1"/>
    <xf numFmtId="3" fontId="119" fillId="0" borderId="137" xfId="569" applyNumberFormat="1" applyFont="1" applyFill="1" applyBorder="1" applyAlignment="1">
      <alignment horizontal="right"/>
    </xf>
    <xf numFmtId="4" fontId="36" fillId="0" borderId="137" xfId="569" applyNumberFormat="1" applyFont="1" applyFill="1" applyBorder="1"/>
    <xf numFmtId="3" fontId="90" fillId="0" borderId="137" xfId="569" applyNumberFormat="1" applyFont="1" applyFill="1" applyBorder="1"/>
    <xf numFmtId="3" fontId="84" fillId="0" borderId="137" xfId="569" applyNumberFormat="1" applyFont="1" applyFill="1" applyBorder="1" applyAlignment="1">
      <alignment horizontal="right" vertical="center"/>
    </xf>
    <xf numFmtId="3" fontId="124" fillId="0" borderId="137" xfId="569" applyNumberFormat="1" applyFont="1" applyFill="1" applyBorder="1" applyAlignment="1">
      <alignment horizontal="left"/>
    </xf>
    <xf numFmtId="3" fontId="37" fillId="38" borderId="137" xfId="569" applyNumberFormat="1" applyFont="1" applyFill="1" applyBorder="1"/>
    <xf numFmtId="3" fontId="106" fillId="38" borderId="137" xfId="569" applyNumberFormat="1" applyFont="1" applyFill="1" applyBorder="1"/>
    <xf numFmtId="3" fontId="84" fillId="0" borderId="84" xfId="569" applyNumberFormat="1" applyFont="1" applyFill="1" applyBorder="1" applyAlignment="1">
      <alignment horizontal="right" vertical="center"/>
    </xf>
    <xf numFmtId="3" fontId="84" fillId="0" borderId="91" xfId="569" applyNumberFormat="1" applyFont="1" applyFill="1" applyBorder="1" applyAlignment="1">
      <alignment horizontal="right" vertical="center"/>
    </xf>
    <xf numFmtId="3" fontId="36" fillId="0" borderId="84" xfId="569" applyNumberFormat="1" applyFont="1" applyBorder="1" applyAlignment="1">
      <alignment horizontal="left"/>
    </xf>
    <xf numFmtId="3" fontId="124" fillId="0" borderId="84" xfId="569" applyNumberFormat="1" applyFont="1" applyBorder="1" applyAlignment="1">
      <alignment horizontal="left"/>
    </xf>
    <xf numFmtId="3" fontId="44" fillId="0" borderId="201" xfId="409" applyNumberFormat="1" applyFont="1" applyFill="1" applyBorder="1"/>
    <xf numFmtId="1" fontId="44" fillId="0" borderId="34" xfId="409" applyNumberFormat="1" applyFont="1" applyBorder="1" applyAlignment="1">
      <alignment horizontal="right"/>
    </xf>
    <xf numFmtId="1" fontId="44" fillId="0" borderId="34" xfId="409" applyNumberFormat="1" applyFont="1" applyBorder="1" applyAlignment="1">
      <alignment horizontal="left"/>
    </xf>
    <xf numFmtId="49" fontId="36" fillId="0" borderId="98" xfId="569" applyNumberFormat="1" applyFont="1" applyFill="1" applyBorder="1" applyAlignment="1">
      <alignment horizontal="center"/>
    </xf>
    <xf numFmtId="1" fontId="44" fillId="0" borderId="21" xfId="409" applyNumberFormat="1" applyFont="1" applyFill="1" applyBorder="1" applyAlignment="1">
      <alignment horizontal="right"/>
    </xf>
    <xf numFmtId="1" fontId="108" fillId="0" borderId="21" xfId="569" applyNumberFormat="1" applyFont="1" applyFill="1" applyBorder="1" applyAlignment="1">
      <alignment horizontal="left"/>
    </xf>
    <xf numFmtId="1" fontId="84" fillId="0" borderId="21" xfId="569" applyNumberFormat="1" applyFont="1" applyFill="1" applyBorder="1" applyAlignment="1">
      <alignment horizontal="left"/>
    </xf>
    <xf numFmtId="1" fontId="84" fillId="0" borderId="117" xfId="569" applyNumberFormat="1" applyFont="1" applyFill="1" applyBorder="1" applyAlignment="1">
      <alignment horizontal="left"/>
    </xf>
    <xf numFmtId="1" fontId="97" fillId="0" borderId="0" xfId="569" applyNumberFormat="1" applyFont="1" applyFill="1" applyBorder="1" applyAlignment="1">
      <alignment horizontal="right"/>
    </xf>
    <xf numFmtId="1" fontId="67" fillId="0" borderId="0" xfId="569" applyNumberFormat="1" applyFont="1" applyFill="1" applyBorder="1" applyAlignment="1">
      <alignment horizontal="left"/>
    </xf>
    <xf numFmtId="1" fontId="6" fillId="0" borderId="0" xfId="569" applyNumberFormat="1" applyFont="1" applyBorder="1"/>
    <xf numFmtId="1" fontId="44" fillId="0" borderId="75" xfId="409" applyNumberFormat="1" applyFont="1" applyBorder="1" applyAlignment="1">
      <alignment horizontal="right"/>
    </xf>
    <xf numFmtId="1" fontId="44" fillId="0" borderId="34" xfId="409" applyNumberFormat="1" applyFont="1" applyBorder="1" applyAlignment="1">
      <alignment horizontal="center"/>
    </xf>
    <xf numFmtId="1" fontId="44" fillId="0" borderId="0" xfId="409" applyNumberFormat="1" applyFont="1" applyBorder="1" applyAlignment="1">
      <alignment horizontal="right"/>
    </xf>
    <xf numFmtId="1" fontId="44" fillId="0" borderId="33" xfId="409" applyNumberFormat="1" applyFont="1" applyBorder="1" applyAlignment="1">
      <alignment horizontal="right"/>
    </xf>
    <xf numFmtId="0" fontId="36" fillId="0" borderId="95" xfId="569" applyFont="1" applyFill="1" applyBorder="1" applyAlignment="1">
      <alignment horizontal="center"/>
    </xf>
    <xf numFmtId="0" fontId="36" fillId="0" borderId="305" xfId="569" applyFont="1" applyFill="1" applyBorder="1" applyAlignment="1">
      <alignment horizontal="center"/>
    </xf>
    <xf numFmtId="0" fontId="37" fillId="7" borderId="70" xfId="569" applyFont="1" applyFill="1" applyBorder="1" applyAlignment="1">
      <alignment horizontal="center" vertical="center" wrapText="1"/>
    </xf>
    <xf numFmtId="3" fontId="110" fillId="0" borderId="21" xfId="569" applyNumberFormat="1" applyFont="1" applyFill="1" applyBorder="1" applyAlignment="1">
      <alignment horizontal="left"/>
    </xf>
    <xf numFmtId="171" fontId="122" fillId="0" borderId="57" xfId="409" applyNumberFormat="1" applyFont="1" applyBorder="1" applyAlignment="1">
      <alignment horizontal="right"/>
    </xf>
    <xf numFmtId="3" fontId="84" fillId="0" borderId="227" xfId="569" applyNumberFormat="1" applyFont="1" applyBorder="1" applyAlignment="1">
      <alignment horizontal="right"/>
    </xf>
    <xf numFmtId="3" fontId="85" fillId="0" borderId="0" xfId="569" applyNumberFormat="1" applyFont="1" applyBorder="1"/>
    <xf numFmtId="4" fontId="84" fillId="0" borderId="0" xfId="569" applyNumberFormat="1" applyFont="1" applyFill="1" applyBorder="1"/>
    <xf numFmtId="171" fontId="44" fillId="45" borderId="0" xfId="409" applyNumberFormat="1" applyFont="1" applyFill="1" applyBorder="1"/>
    <xf numFmtId="171" fontId="44" fillId="45" borderId="0" xfId="409" applyNumberFormat="1" applyFont="1" applyFill="1"/>
    <xf numFmtId="171" fontId="44" fillId="45" borderId="0" xfId="409" applyNumberFormat="1" applyFont="1" applyFill="1" applyBorder="1" applyAlignment="1">
      <alignment horizontal="right"/>
    </xf>
    <xf numFmtId="171" fontId="44" fillId="45" borderId="0" xfId="409" applyNumberFormat="1" applyFont="1" applyFill="1" applyBorder="1" applyAlignment="1">
      <alignment horizontal="left"/>
    </xf>
    <xf numFmtId="171" fontId="44" fillId="46" borderId="0" xfId="409" applyNumberFormat="1" applyFont="1" applyFill="1" applyBorder="1" applyAlignment="1"/>
    <xf numFmtId="171" fontId="44" fillId="47" borderId="137" xfId="409" applyNumberFormat="1" applyFont="1" applyFill="1" applyBorder="1" applyAlignment="1">
      <alignment horizontal="right"/>
    </xf>
    <xf numFmtId="171" fontId="44" fillId="47" borderId="0" xfId="409" applyNumberFormat="1" applyFont="1" applyFill="1" applyBorder="1" applyAlignment="1">
      <alignment horizontal="left"/>
    </xf>
    <xf numFmtId="171" fontId="44" fillId="47" borderId="0" xfId="409" applyNumberFormat="1" applyFont="1" applyFill="1" applyBorder="1" applyAlignment="1">
      <alignment horizontal="right"/>
    </xf>
    <xf numFmtId="1" fontId="37" fillId="4" borderId="13" xfId="569" applyNumberFormat="1" applyFont="1" applyFill="1" applyBorder="1" applyAlignment="1">
      <alignment horizontal="center" vertical="center" wrapText="1"/>
    </xf>
    <xf numFmtId="3" fontId="86" fillId="4" borderId="37" xfId="569" applyNumberFormat="1" applyFont="1" applyFill="1" applyBorder="1" applyAlignment="1">
      <alignment horizontal="right"/>
    </xf>
    <xf numFmtId="171" fontId="44" fillId="45" borderId="86" xfId="409" applyNumberFormat="1" applyFont="1" applyFill="1" applyBorder="1"/>
    <xf numFmtId="171" fontId="44" fillId="45" borderId="105" xfId="409" applyNumberFormat="1" applyFont="1" applyFill="1" applyBorder="1"/>
    <xf numFmtId="171" fontId="44" fillId="45" borderId="137" xfId="409" applyNumberFormat="1" applyFont="1" applyFill="1" applyBorder="1"/>
    <xf numFmtId="171" fontId="50" fillId="50" borderId="90" xfId="409" applyNumberFormat="1" applyFont="1" applyFill="1" applyBorder="1"/>
    <xf numFmtId="171" fontId="44" fillId="55" borderId="0" xfId="409" applyNumberFormat="1" applyFont="1" applyFill="1" applyBorder="1"/>
    <xf numFmtId="171" fontId="44" fillId="56" borderId="0" xfId="409" applyNumberFormat="1" applyFont="1" applyFill="1" applyBorder="1"/>
    <xf numFmtId="171" fontId="44" fillId="57" borderId="0" xfId="409" applyNumberFormat="1" applyFont="1" applyFill="1" applyBorder="1"/>
    <xf numFmtId="171" fontId="44" fillId="57" borderId="0" xfId="409" applyNumberFormat="1" applyFont="1" applyFill="1" applyBorder="1" applyAlignment="1">
      <alignment horizontal="left"/>
    </xf>
    <xf numFmtId="171" fontId="44" fillId="57" borderId="0" xfId="409" applyNumberFormat="1" applyFont="1" applyFill="1" applyBorder="1" applyAlignment="1">
      <alignment horizontal="right"/>
    </xf>
    <xf numFmtId="171" fontId="50" fillId="56" borderId="0" xfId="409" applyNumberFormat="1" applyFont="1" applyFill="1" applyBorder="1"/>
    <xf numFmtId="171" fontId="50" fillId="54" borderId="159" xfId="409" applyNumberFormat="1" applyFont="1" applyFill="1" applyBorder="1"/>
    <xf numFmtId="171" fontId="44" fillId="0" borderId="42" xfId="409" applyNumberFormat="1" applyFont="1" applyBorder="1"/>
    <xf numFmtId="171" fontId="44" fillId="45" borderId="90" xfId="409" applyNumberFormat="1" applyFont="1" applyFill="1" applyBorder="1"/>
    <xf numFmtId="171" fontId="50" fillId="53" borderId="159" xfId="409" applyNumberFormat="1" applyFont="1" applyFill="1" applyBorder="1" applyAlignment="1">
      <alignment horizontal="right"/>
    </xf>
    <xf numFmtId="3" fontId="37" fillId="4" borderId="266" xfId="569" applyNumberFormat="1" applyFont="1" applyFill="1" applyBorder="1"/>
    <xf numFmtId="3" fontId="36" fillId="0" borderId="97" xfId="569" applyNumberFormat="1" applyFont="1" applyBorder="1"/>
    <xf numFmtId="3" fontId="37" fillId="4" borderId="97" xfId="569" applyNumberFormat="1" applyFont="1" applyFill="1" applyBorder="1"/>
    <xf numFmtId="3" fontId="36" fillId="30" borderId="97" xfId="569" applyNumberFormat="1" applyFont="1" applyFill="1" applyBorder="1"/>
    <xf numFmtId="3" fontId="6" fillId="0" borderId="97" xfId="569" applyNumberFormat="1" applyFont="1" applyBorder="1"/>
    <xf numFmtId="3" fontId="106" fillId="4" borderId="97" xfId="569" applyNumberFormat="1" applyFont="1" applyFill="1" applyBorder="1"/>
    <xf numFmtId="4" fontId="36" fillId="0" borderId="97" xfId="569" applyNumberFormat="1" applyFont="1" applyBorder="1"/>
    <xf numFmtId="3" fontId="43" fillId="0" borderId="97" xfId="569" applyNumberFormat="1" applyFont="1" applyFill="1" applyBorder="1" applyAlignment="1">
      <alignment horizontal="center" vertical="center"/>
    </xf>
    <xf numFmtId="3" fontId="35" fillId="38" borderId="97" xfId="569" applyNumberFormat="1" applyFont="1" applyFill="1" applyBorder="1"/>
    <xf numFmtId="1" fontId="37" fillId="7" borderId="319" xfId="569" applyNumberFormat="1" applyFont="1" applyFill="1" applyBorder="1" applyAlignment="1">
      <alignment horizontal="center" vertical="center" wrapText="1"/>
    </xf>
    <xf numFmtId="1" fontId="43" fillId="7" borderId="320" xfId="569" applyNumberFormat="1" applyFont="1" applyFill="1" applyBorder="1" applyAlignment="1">
      <alignment horizontal="center" vertical="center"/>
    </xf>
    <xf numFmtId="1" fontId="43" fillId="7" borderId="321" xfId="569" applyNumberFormat="1" applyFont="1" applyFill="1" applyBorder="1" applyAlignment="1">
      <alignment horizontal="center" vertical="center"/>
    </xf>
    <xf numFmtId="171" fontId="44" fillId="52" borderId="137" xfId="409" applyNumberFormat="1" applyFont="1" applyFill="1" applyBorder="1"/>
    <xf numFmtId="171" fontId="44" fillId="50" borderId="137" xfId="409" applyNumberFormat="1" applyFont="1" applyFill="1" applyBorder="1"/>
    <xf numFmtId="171" fontId="44" fillId="45" borderId="137" xfId="409" applyNumberFormat="1" applyFont="1" applyFill="1" applyBorder="1" applyAlignment="1">
      <alignment horizontal="center" vertical="center"/>
    </xf>
    <xf numFmtId="171" fontId="50" fillId="52" borderId="137" xfId="409" applyNumberFormat="1" applyFont="1" applyFill="1" applyBorder="1"/>
    <xf numFmtId="171" fontId="50" fillId="50" borderId="137" xfId="409" applyNumberFormat="1" applyFont="1" applyFill="1" applyBorder="1"/>
    <xf numFmtId="171" fontId="50" fillId="52" borderId="214" xfId="409" applyNumberFormat="1" applyFont="1" applyFill="1" applyBorder="1"/>
    <xf numFmtId="0" fontId="43" fillId="7" borderId="307" xfId="569" applyFont="1" applyFill="1" applyBorder="1"/>
    <xf numFmtId="0" fontId="43" fillId="7" borderId="308" xfId="569" applyFont="1" applyFill="1" applyBorder="1" applyAlignment="1">
      <alignment vertical="top"/>
    </xf>
    <xf numFmtId="0" fontId="43" fillId="7" borderId="308" xfId="569" applyFont="1" applyFill="1" applyBorder="1" applyAlignment="1">
      <alignment horizontal="center"/>
    </xf>
    <xf numFmtId="0" fontId="43" fillId="7" borderId="320" xfId="569" applyFont="1" applyFill="1" applyBorder="1" applyAlignment="1">
      <alignment horizontal="center"/>
    </xf>
    <xf numFmtId="1" fontId="43" fillId="7" borderId="322" xfId="569" applyNumberFormat="1" applyFont="1" applyFill="1" applyBorder="1" applyAlignment="1">
      <alignment horizontal="center" vertical="center"/>
    </xf>
    <xf numFmtId="171" fontId="44" fillId="45" borderId="201" xfId="409" applyNumberFormat="1" applyFont="1" applyFill="1" applyBorder="1"/>
    <xf numFmtId="171" fontId="44" fillId="45" borderId="255" xfId="409" applyNumberFormat="1" applyFont="1" applyFill="1" applyBorder="1"/>
    <xf numFmtId="49" fontId="36" fillId="0" borderId="96" xfId="569" applyNumberFormat="1" applyFont="1" applyFill="1" applyBorder="1" applyAlignment="1">
      <alignment horizontal="left"/>
    </xf>
    <xf numFmtId="3" fontId="84" fillId="0" borderId="228" xfId="569" applyNumberFormat="1" applyFont="1" applyBorder="1"/>
    <xf numFmtId="0" fontId="36" fillId="0" borderId="189" xfId="569" applyFont="1" applyFill="1" applyBorder="1" applyAlignment="1">
      <alignment horizontal="left"/>
    </xf>
    <xf numFmtId="171" fontId="44" fillId="0" borderId="75" xfId="409" applyNumberFormat="1" applyFont="1" applyFill="1" applyBorder="1" applyAlignment="1">
      <alignment horizontal="right"/>
    </xf>
    <xf numFmtId="3" fontId="36" fillId="0" borderId="262" xfId="569" applyNumberFormat="1" applyFont="1" applyFill="1" applyBorder="1" applyAlignment="1">
      <alignment horizontal="right"/>
    </xf>
    <xf numFmtId="14" fontId="84" fillId="26" borderId="307" xfId="569" applyNumberFormat="1" applyFont="1" applyFill="1" applyBorder="1"/>
    <xf numFmtId="0" fontId="85" fillId="26" borderId="308" xfId="569" applyFont="1" applyFill="1" applyBorder="1" applyAlignment="1">
      <alignment vertical="top"/>
    </xf>
    <xf numFmtId="0" fontId="84" fillId="26" borderId="308" xfId="569" applyFont="1" applyFill="1" applyBorder="1" applyAlignment="1">
      <alignment horizontal="left"/>
    </xf>
    <xf numFmtId="3" fontId="37" fillId="26" borderId="210" xfId="569" applyNumberFormat="1" applyFont="1" applyFill="1" applyBorder="1" applyAlignment="1">
      <alignment horizontal="right"/>
    </xf>
    <xf numFmtId="3" fontId="37" fillId="26" borderId="308" xfId="569" applyNumberFormat="1" applyFont="1" applyFill="1" applyBorder="1" applyAlignment="1">
      <alignment horizontal="right"/>
    </xf>
    <xf numFmtId="3" fontId="37" fillId="30" borderId="159" xfId="569" applyNumberFormat="1" applyFont="1" applyFill="1" applyBorder="1" applyAlignment="1">
      <alignment horizontal="right"/>
    </xf>
    <xf numFmtId="3" fontId="37" fillId="30" borderId="307" xfId="569" applyNumberFormat="1" applyFont="1" applyFill="1" applyBorder="1" applyAlignment="1">
      <alignment horizontal="right"/>
    </xf>
    <xf numFmtId="171" fontId="50" fillId="45" borderId="210" xfId="409" applyNumberFormat="1" applyFont="1" applyFill="1" applyBorder="1"/>
    <xf numFmtId="3" fontId="37" fillId="26" borderId="320" xfId="569" applyNumberFormat="1" applyFont="1" applyFill="1" applyBorder="1" applyAlignment="1">
      <alignment horizontal="right"/>
    </xf>
    <xf numFmtId="3" fontId="37" fillId="26" borderId="321" xfId="569" applyNumberFormat="1" applyFont="1" applyFill="1" applyBorder="1" applyAlignment="1">
      <alignment horizontal="right"/>
    </xf>
    <xf numFmtId="3" fontId="84" fillId="0" borderId="262" xfId="569" applyNumberFormat="1" applyFont="1" applyBorder="1"/>
    <xf numFmtId="0" fontId="36" fillId="26" borderId="307" xfId="569" applyFont="1" applyFill="1" applyBorder="1"/>
    <xf numFmtId="0" fontId="36" fillId="26" borderId="308" xfId="569" applyFont="1" applyFill="1" applyBorder="1" applyAlignment="1">
      <alignment vertical="top"/>
    </xf>
    <xf numFmtId="0" fontId="36" fillId="26" borderId="308" xfId="569" applyFont="1" applyFill="1" applyBorder="1" applyAlignment="1">
      <alignment horizontal="left"/>
    </xf>
    <xf numFmtId="3" fontId="86" fillId="26" borderId="210" xfId="569" applyNumberFormat="1" applyFont="1" applyFill="1" applyBorder="1" applyAlignment="1">
      <alignment horizontal="right"/>
    </xf>
    <xf numFmtId="3" fontId="86" fillId="26" borderId="308" xfId="569" applyNumberFormat="1" applyFont="1" applyFill="1" applyBorder="1" applyAlignment="1">
      <alignment horizontal="right"/>
    </xf>
    <xf numFmtId="3" fontId="86" fillId="30" borderId="159" xfId="569" applyNumberFormat="1" applyFont="1" applyFill="1" applyBorder="1" applyAlignment="1">
      <alignment horizontal="right"/>
    </xf>
    <xf numFmtId="3" fontId="86" fillId="30" borderId="307" xfId="569" applyNumberFormat="1" applyFont="1" applyFill="1" applyBorder="1" applyAlignment="1">
      <alignment horizontal="right"/>
    </xf>
    <xf numFmtId="3" fontId="86" fillId="26" borderId="320" xfId="569" applyNumberFormat="1" applyFont="1" applyFill="1" applyBorder="1" applyAlignment="1">
      <alignment horizontal="right"/>
    </xf>
    <xf numFmtId="3" fontId="86" fillId="26" borderId="321" xfId="569" applyNumberFormat="1" applyFont="1" applyFill="1" applyBorder="1" applyAlignment="1">
      <alignment horizontal="right"/>
    </xf>
    <xf numFmtId="0" fontId="38" fillId="0" borderId="195" xfId="569" applyFont="1" applyFill="1" applyBorder="1"/>
    <xf numFmtId="0" fontId="38" fillId="0" borderId="64" xfId="569" applyFont="1" applyFill="1" applyBorder="1" applyAlignment="1">
      <alignment vertical="top"/>
    </xf>
    <xf numFmtId="0" fontId="38" fillId="0" borderId="189" xfId="569" applyFont="1" applyFill="1" applyBorder="1" applyAlignment="1">
      <alignment horizontal="left"/>
    </xf>
    <xf numFmtId="3" fontId="36" fillId="0" borderId="262" xfId="569" applyNumberFormat="1" applyFont="1" applyBorder="1"/>
    <xf numFmtId="0" fontId="84" fillId="26" borderId="307" xfId="569" applyFont="1" applyFill="1" applyBorder="1"/>
    <xf numFmtId="0" fontId="84" fillId="26" borderId="308" xfId="569" applyFont="1" applyFill="1" applyBorder="1" applyAlignment="1">
      <alignment vertical="top"/>
    </xf>
    <xf numFmtId="0" fontId="69" fillId="0" borderId="96" xfId="569" applyFont="1" applyFill="1" applyBorder="1"/>
    <xf numFmtId="0" fontId="69" fillId="0" borderId="21" xfId="569" applyFont="1" applyFill="1" applyBorder="1"/>
    <xf numFmtId="0" fontId="69" fillId="0" borderId="174" xfId="569" applyFont="1" applyFill="1" applyBorder="1"/>
    <xf numFmtId="3" fontId="103" fillId="0" borderId="201" xfId="569" applyNumberFormat="1" applyFont="1" applyFill="1" applyBorder="1" applyAlignment="1">
      <alignment horizontal="right"/>
    </xf>
    <xf numFmtId="3" fontId="103" fillId="0" borderId="21" xfId="569" applyNumberFormat="1" applyFont="1" applyFill="1" applyBorder="1" applyAlignment="1">
      <alignment horizontal="right"/>
    </xf>
    <xf numFmtId="3" fontId="103" fillId="0" borderId="228" xfId="569" applyNumberFormat="1" applyFont="1" applyBorder="1" applyAlignment="1">
      <alignment horizontal="right"/>
    </xf>
    <xf numFmtId="49" fontId="31" fillId="4" borderId="307" xfId="569" applyNumberFormat="1" applyFont="1" applyFill="1" applyBorder="1" applyAlignment="1">
      <alignment horizontal="right"/>
    </xf>
    <xf numFmtId="0" fontId="36" fillId="4" borderId="320" xfId="569" applyFont="1" applyFill="1" applyBorder="1"/>
    <xf numFmtId="0" fontId="31" fillId="4" borderId="322" xfId="569" applyFont="1" applyFill="1" applyBorder="1"/>
    <xf numFmtId="3" fontId="37" fillId="4" borderId="210" xfId="569" applyNumberFormat="1" applyFont="1" applyFill="1" applyBorder="1" applyAlignment="1">
      <alignment horizontal="right"/>
    </xf>
    <xf numFmtId="3" fontId="35" fillId="4" borderId="210" xfId="569" applyNumberFormat="1" applyFont="1" applyFill="1" applyBorder="1"/>
    <xf numFmtId="3" fontId="35" fillId="4" borderId="211" xfId="569" applyNumberFormat="1" applyFont="1" applyFill="1" applyBorder="1"/>
    <xf numFmtId="3" fontId="35" fillId="4" borderId="159" xfId="569" applyNumberFormat="1" applyFont="1" applyFill="1" applyBorder="1"/>
    <xf numFmtId="3" fontId="35" fillId="4" borderId="307" xfId="569" applyNumberFormat="1" applyFont="1" applyFill="1" applyBorder="1"/>
    <xf numFmtId="3" fontId="35" fillId="4" borderId="320" xfId="569" applyNumberFormat="1" applyFont="1" applyFill="1" applyBorder="1"/>
    <xf numFmtId="3" fontId="35" fillId="4" borderId="321" xfId="569" applyNumberFormat="1" applyFont="1" applyFill="1" applyBorder="1"/>
    <xf numFmtId="171" fontId="50" fillId="48" borderId="159" xfId="409" applyNumberFormat="1" applyFont="1" applyFill="1" applyBorder="1"/>
    <xf numFmtId="171" fontId="50" fillId="53" borderId="36" xfId="409" applyNumberFormat="1" applyFont="1" applyFill="1" applyBorder="1" applyAlignment="1">
      <alignment horizontal="right"/>
    </xf>
    <xf numFmtId="171" fontId="50" fillId="45" borderId="159" xfId="409" applyNumberFormat="1" applyFont="1" applyFill="1" applyBorder="1"/>
    <xf numFmtId="0" fontId="35" fillId="15" borderId="307" xfId="569" applyFont="1" applyFill="1" applyBorder="1"/>
    <xf numFmtId="0" fontId="35" fillId="15" borderId="308" xfId="569" applyFont="1" applyFill="1" applyBorder="1"/>
    <xf numFmtId="3" fontId="35" fillId="15" borderId="210" xfId="569" applyNumberFormat="1" applyFont="1" applyFill="1" applyBorder="1" applyAlignment="1">
      <alignment horizontal="right"/>
    </xf>
    <xf numFmtId="3" fontId="35" fillId="15" borderId="308" xfId="569" applyNumberFormat="1" applyFont="1" applyFill="1" applyBorder="1"/>
    <xf numFmtId="3" fontId="35" fillId="26" borderId="210" xfId="569" applyNumberFormat="1" applyFont="1" applyFill="1" applyBorder="1"/>
    <xf numFmtId="3" fontId="35" fillId="15" borderId="213" xfId="569" applyNumberFormat="1" applyFont="1" applyFill="1" applyBorder="1"/>
    <xf numFmtId="3" fontId="35" fillId="15" borderId="159" xfId="569" applyNumberFormat="1" applyFont="1" applyFill="1" applyBorder="1"/>
    <xf numFmtId="3" fontId="35" fillId="15" borderId="307" xfId="569" applyNumberFormat="1" applyFont="1" applyFill="1" applyBorder="1"/>
    <xf numFmtId="171" fontId="50" fillId="46" borderId="210" xfId="409" applyNumberFormat="1" applyFont="1" applyFill="1" applyBorder="1"/>
    <xf numFmtId="3" fontId="35" fillId="15" borderId="320" xfId="569" applyNumberFormat="1" applyFont="1" applyFill="1" applyBorder="1"/>
    <xf numFmtId="0" fontId="35" fillId="0" borderId="141" xfId="569" applyFont="1" applyFill="1" applyBorder="1"/>
    <xf numFmtId="3" fontId="37" fillId="4" borderId="322" xfId="569" applyNumberFormat="1" applyFont="1" applyFill="1" applyBorder="1" applyAlignment="1">
      <alignment horizontal="right"/>
    </xf>
    <xf numFmtId="3" fontId="35" fillId="4" borderId="324" xfId="569" applyNumberFormat="1" applyFont="1" applyFill="1" applyBorder="1"/>
    <xf numFmtId="3" fontId="35" fillId="4" borderId="325" xfId="569" applyNumberFormat="1" applyFont="1" applyFill="1" applyBorder="1"/>
    <xf numFmtId="3" fontId="35" fillId="4" borderId="308" xfId="569" applyNumberFormat="1" applyFont="1" applyFill="1" applyBorder="1"/>
    <xf numFmtId="171" fontId="50" fillId="52" borderId="308" xfId="409" applyNumberFormat="1" applyFont="1" applyFill="1" applyBorder="1"/>
    <xf numFmtId="3" fontId="84" fillId="0" borderId="178" xfId="569" applyNumberFormat="1" applyFont="1" applyFill="1" applyBorder="1" applyAlignment="1">
      <alignment horizontal="right"/>
    </xf>
    <xf numFmtId="3" fontId="36" fillId="0" borderId="196" xfId="569" applyNumberFormat="1" applyFont="1" applyFill="1" applyBorder="1" applyAlignment="1">
      <alignment horizontal="left"/>
    </xf>
    <xf numFmtId="171" fontId="44" fillId="0" borderId="178" xfId="409" applyNumberFormat="1" applyFont="1" applyBorder="1" applyAlignment="1">
      <alignment horizontal="right"/>
    </xf>
    <xf numFmtId="3" fontId="86" fillId="26" borderId="212" xfId="569" applyNumberFormat="1" applyFont="1" applyFill="1" applyBorder="1" applyAlignment="1">
      <alignment horizontal="right"/>
    </xf>
    <xf numFmtId="3" fontId="86" fillId="30" borderId="210" xfId="569" applyNumberFormat="1" applyFont="1" applyFill="1" applyBorder="1" applyAlignment="1">
      <alignment horizontal="right"/>
    </xf>
    <xf numFmtId="3" fontId="86" fillId="26" borderId="326" xfId="569" applyNumberFormat="1" applyFont="1" applyFill="1" applyBorder="1" applyAlignment="1">
      <alignment horizontal="right"/>
    </xf>
    <xf numFmtId="3" fontId="97" fillId="30" borderId="98" xfId="569" applyNumberFormat="1" applyFont="1" applyFill="1" applyBorder="1" applyAlignment="1">
      <alignment horizontal="right"/>
    </xf>
    <xf numFmtId="3" fontId="67" fillId="30" borderId="98" xfId="569" applyNumberFormat="1" applyFont="1" applyFill="1" applyBorder="1" applyAlignment="1">
      <alignment horizontal="left"/>
    </xf>
    <xf numFmtId="0" fontId="6" fillId="26" borderId="98" xfId="569" applyFont="1" applyFill="1" applyBorder="1"/>
    <xf numFmtId="171" fontId="44" fillId="47" borderId="137" xfId="409" applyNumberFormat="1" applyFont="1" applyFill="1" applyBorder="1"/>
    <xf numFmtId="171" fontId="44" fillId="45" borderId="137" xfId="409" applyNumberFormat="1" applyFont="1" applyFill="1" applyBorder="1" applyAlignment="1">
      <alignment horizontal="right"/>
    </xf>
    <xf numFmtId="3" fontId="86" fillId="30" borderId="211" xfId="569" applyNumberFormat="1" applyFont="1" applyFill="1" applyBorder="1" applyAlignment="1">
      <alignment horizontal="right"/>
    </xf>
    <xf numFmtId="171" fontId="50" fillId="47" borderId="159" xfId="409" applyNumberFormat="1" applyFont="1" applyFill="1" applyBorder="1" applyAlignment="1">
      <alignment horizontal="right"/>
    </xf>
    <xf numFmtId="0" fontId="6" fillId="0" borderId="201" xfId="569" applyFont="1" applyBorder="1"/>
    <xf numFmtId="0" fontId="37" fillId="0" borderId="195" xfId="569" applyFont="1" applyBorder="1"/>
    <xf numFmtId="0" fontId="37" fillId="0" borderId="64" xfId="569" applyFont="1" applyFill="1" applyBorder="1" applyAlignment="1">
      <alignment vertical="top"/>
    </xf>
    <xf numFmtId="0" fontId="84" fillId="0" borderId="181" xfId="569" applyFont="1" applyFill="1" applyBorder="1" applyAlignment="1">
      <alignment horizontal="left"/>
    </xf>
    <xf numFmtId="3" fontId="35" fillId="15" borderId="210" xfId="569" applyNumberFormat="1" applyFont="1" applyFill="1" applyBorder="1"/>
    <xf numFmtId="1" fontId="35" fillId="15" borderId="320" xfId="569" applyNumberFormat="1" applyFont="1" applyFill="1" applyBorder="1"/>
    <xf numFmtId="3" fontId="35" fillId="15" borderId="321" xfId="569" applyNumberFormat="1" applyFont="1" applyFill="1" applyBorder="1"/>
    <xf numFmtId="171" fontId="129" fillId="45" borderId="137" xfId="409" applyNumberFormat="1" applyFont="1" applyFill="1" applyBorder="1"/>
    <xf numFmtId="171" fontId="130" fillId="45" borderId="137" xfId="409" applyNumberFormat="1" applyFont="1" applyFill="1" applyBorder="1"/>
    <xf numFmtId="0" fontId="36" fillId="0" borderId="201" xfId="569" applyFont="1" applyFill="1" applyBorder="1" applyAlignment="1">
      <alignment horizontal="left"/>
    </xf>
    <xf numFmtId="0" fontId="36" fillId="0" borderId="201" xfId="569" applyFont="1" applyFill="1" applyBorder="1" applyAlignment="1">
      <alignment horizontal="right"/>
    </xf>
    <xf numFmtId="0" fontId="37" fillId="0" borderId="201" xfId="569" applyFont="1" applyFill="1" applyBorder="1" applyAlignment="1">
      <alignment horizontal="left"/>
    </xf>
    <xf numFmtId="3" fontId="37" fillId="0" borderId="201" xfId="569" applyNumberFormat="1" applyFont="1" applyFill="1" applyBorder="1" applyAlignment="1">
      <alignment horizontal="right"/>
    </xf>
    <xf numFmtId="3" fontId="37" fillId="26" borderId="178" xfId="569" applyNumberFormat="1" applyFont="1" applyFill="1" applyBorder="1" applyAlignment="1">
      <alignment horizontal="right"/>
    </xf>
    <xf numFmtId="171" fontId="44" fillId="45" borderId="201" xfId="409" applyNumberFormat="1" applyFont="1" applyFill="1" applyBorder="1" applyAlignment="1">
      <alignment horizontal="right"/>
    </xf>
    <xf numFmtId="0" fontId="35" fillId="15" borderId="257" xfId="569" applyFont="1" applyFill="1" applyBorder="1"/>
    <xf numFmtId="0" fontId="35" fillId="15" borderId="210" xfId="569" applyFont="1" applyFill="1" applyBorder="1"/>
    <xf numFmtId="3" fontId="35" fillId="15" borderId="326" xfId="569" applyNumberFormat="1" applyFont="1" applyFill="1" applyBorder="1"/>
    <xf numFmtId="0" fontId="86" fillId="30" borderId="266" xfId="571" applyFont="1" applyFill="1" applyBorder="1"/>
    <xf numFmtId="0" fontId="109" fillId="0" borderId="111" xfId="569" applyFont="1" applyFill="1" applyBorder="1"/>
    <xf numFmtId="3" fontId="109" fillId="0" borderId="255" xfId="569" applyNumberFormat="1" applyFont="1" applyFill="1" applyBorder="1"/>
    <xf numFmtId="3" fontId="109" fillId="0" borderId="138" xfId="569" applyNumberFormat="1" applyFont="1" applyFill="1" applyBorder="1"/>
    <xf numFmtId="3" fontId="112" fillId="0" borderId="255" xfId="566" applyNumberFormat="1" applyFont="1" applyFill="1" applyBorder="1"/>
    <xf numFmtId="171" fontId="130" fillId="45" borderId="255" xfId="409" applyNumberFormat="1" applyFont="1" applyFill="1" applyBorder="1"/>
    <xf numFmtId="3" fontId="108" fillId="0" borderId="112" xfId="569" applyNumberFormat="1" applyFont="1" applyFill="1" applyBorder="1"/>
    <xf numFmtId="3" fontId="108" fillId="0" borderId="256" xfId="569" applyNumberFormat="1" applyFont="1" applyFill="1" applyBorder="1"/>
    <xf numFmtId="0" fontId="86" fillId="30" borderId="257" xfId="571" applyFont="1" applyFill="1" applyBorder="1"/>
    <xf numFmtId="0" fontId="86" fillId="30" borderId="211" xfId="571" applyFont="1" applyFill="1" applyBorder="1"/>
    <xf numFmtId="3" fontId="86" fillId="30" borderId="210" xfId="571" applyNumberFormat="1" applyFont="1" applyFill="1" applyBorder="1" applyAlignment="1">
      <alignment horizontal="right"/>
    </xf>
    <xf numFmtId="3" fontId="86" fillId="30" borderId="308" xfId="571" applyNumberFormat="1" applyFont="1" applyFill="1" applyBorder="1"/>
    <xf numFmtId="3" fontId="86" fillId="30" borderId="210" xfId="571" applyNumberFormat="1" applyFont="1" applyFill="1" applyBorder="1"/>
    <xf numFmtId="3" fontId="86" fillId="30" borderId="159" xfId="571" applyNumberFormat="1" applyFont="1" applyFill="1" applyBorder="1"/>
    <xf numFmtId="3" fontId="86" fillId="30" borderId="307" xfId="571" applyNumberFormat="1" applyFont="1" applyFill="1" applyBorder="1"/>
    <xf numFmtId="171" fontId="50" fillId="47" borderId="210" xfId="409" applyNumberFormat="1" applyFont="1" applyFill="1" applyBorder="1"/>
    <xf numFmtId="3" fontId="86" fillId="30" borderId="212" xfId="571" applyNumberFormat="1" applyFont="1" applyFill="1" applyBorder="1"/>
    <xf numFmtId="3" fontId="86" fillId="30" borderId="326" xfId="571" applyNumberFormat="1" applyFont="1" applyFill="1" applyBorder="1"/>
    <xf numFmtId="0" fontId="84" fillId="0" borderId="141" xfId="569" applyFont="1" applyFill="1" applyBorder="1"/>
    <xf numFmtId="3" fontId="110" fillId="0" borderId="201" xfId="569" applyNumberFormat="1" applyFont="1" applyFill="1" applyBorder="1" applyAlignment="1">
      <alignment horizontal="left"/>
    </xf>
    <xf numFmtId="3" fontId="110" fillId="0" borderId="0" xfId="569" applyNumberFormat="1" applyFont="1" applyFill="1" applyBorder="1" applyAlignment="1">
      <alignment horizontal="left"/>
    </xf>
    <xf numFmtId="171" fontId="44" fillId="0" borderId="0" xfId="409" applyNumberFormat="1" applyFont="1" applyBorder="1" applyAlignment="1">
      <alignment horizontal="right"/>
    </xf>
    <xf numFmtId="3" fontId="110" fillId="0" borderId="145" xfId="569" applyNumberFormat="1" applyFont="1" applyBorder="1" applyAlignment="1">
      <alignment horizontal="left"/>
    </xf>
    <xf numFmtId="0" fontId="108" fillId="0" borderId="111" xfId="569" applyFont="1" applyFill="1" applyBorder="1"/>
    <xf numFmtId="3" fontId="115" fillId="0" borderId="255" xfId="569" applyNumberFormat="1" applyFont="1" applyBorder="1" applyAlignment="1">
      <alignment horizontal="right"/>
    </xf>
    <xf numFmtId="3" fontId="108" fillId="0" borderId="255" xfId="569" applyNumberFormat="1" applyFont="1" applyFill="1" applyBorder="1" applyAlignment="1">
      <alignment horizontal="right"/>
    </xf>
    <xf numFmtId="0" fontId="86" fillId="30" borderId="210" xfId="571" applyFont="1" applyFill="1" applyBorder="1"/>
    <xf numFmtId="0" fontId="36" fillId="0" borderId="21" xfId="569" applyFont="1" applyFill="1" applyBorder="1" applyAlignment="1">
      <alignment horizontal="right"/>
    </xf>
    <xf numFmtId="0" fontId="84" fillId="0" borderId="180" xfId="569" applyFont="1" applyFill="1" applyBorder="1"/>
    <xf numFmtId="0" fontId="86" fillId="0" borderId="195" xfId="569" applyFont="1" applyFill="1" applyBorder="1" applyAlignment="1">
      <alignment horizontal="left"/>
    </xf>
    <xf numFmtId="0" fontId="108" fillId="0" borderId="64" xfId="569" applyFont="1" applyFill="1" applyBorder="1" applyAlignment="1">
      <alignment horizontal="right"/>
    </xf>
    <xf numFmtId="0" fontId="108" fillId="0" borderId="181" xfId="569" applyFont="1" applyFill="1" applyBorder="1" applyAlignment="1">
      <alignment horizontal="left"/>
    </xf>
    <xf numFmtId="3" fontId="86" fillId="0" borderId="255" xfId="571" applyNumberFormat="1" applyFont="1" applyFill="1" applyBorder="1" applyAlignment="1">
      <alignment horizontal="right"/>
    </xf>
    <xf numFmtId="3" fontId="115" fillId="0" borderId="138" xfId="571" applyNumberFormat="1" applyFont="1" applyFill="1" applyBorder="1" applyAlignment="1">
      <alignment horizontal="right"/>
    </xf>
    <xf numFmtId="3" fontId="115" fillId="0" borderId="255" xfId="571" applyNumberFormat="1" applyFont="1" applyFill="1" applyBorder="1" applyAlignment="1">
      <alignment horizontal="right"/>
    </xf>
    <xf numFmtId="171" fontId="120" fillId="0" borderId="138" xfId="409" applyNumberFormat="1" applyFont="1" applyFill="1" applyBorder="1" applyAlignment="1">
      <alignment horizontal="right"/>
    </xf>
    <xf numFmtId="3" fontId="86" fillId="30" borderId="308" xfId="571" applyNumberFormat="1" applyFont="1" applyFill="1" applyBorder="1" applyAlignment="1">
      <alignment horizontal="right"/>
    </xf>
    <xf numFmtId="3" fontId="86" fillId="26" borderId="210" xfId="571" applyNumberFormat="1" applyFont="1" applyFill="1" applyBorder="1" applyAlignment="1">
      <alignment horizontal="right"/>
    </xf>
    <xf numFmtId="3" fontId="86" fillId="30" borderId="159" xfId="571" applyNumberFormat="1" applyFont="1" applyFill="1" applyBorder="1" applyAlignment="1">
      <alignment horizontal="right"/>
    </xf>
    <xf numFmtId="3" fontId="86" fillId="30" borderId="307" xfId="571" applyNumberFormat="1" applyFont="1" applyFill="1" applyBorder="1" applyAlignment="1">
      <alignment horizontal="right"/>
    </xf>
    <xf numFmtId="171" fontId="50" fillId="47" borderId="210" xfId="409" applyNumberFormat="1" applyFont="1" applyFill="1" applyBorder="1" applyAlignment="1">
      <alignment horizontal="right"/>
    </xf>
    <xf numFmtId="3" fontId="86" fillId="30" borderId="212" xfId="571" applyNumberFormat="1" applyFont="1" applyFill="1" applyBorder="1" applyAlignment="1">
      <alignment horizontal="right"/>
    </xf>
    <xf numFmtId="3" fontId="86" fillId="30" borderId="326" xfId="571" applyNumberFormat="1" applyFont="1" applyFill="1" applyBorder="1" applyAlignment="1">
      <alignment horizontal="right"/>
    </xf>
    <xf numFmtId="0" fontId="35" fillId="15" borderId="96" xfId="569" applyFont="1" applyFill="1" applyBorder="1"/>
    <xf numFmtId="0" fontId="35" fillId="15" borderId="21" xfId="569" applyFont="1" applyFill="1" applyBorder="1"/>
    <xf numFmtId="3" fontId="108" fillId="0" borderId="255" xfId="569" applyNumberFormat="1" applyFont="1" applyFill="1" applyBorder="1"/>
    <xf numFmtId="3" fontId="86" fillId="30" borderId="213" xfId="571" applyNumberFormat="1" applyFont="1" applyFill="1" applyBorder="1"/>
    <xf numFmtId="171" fontId="50" fillId="46" borderId="0" xfId="409" applyNumberFormat="1" applyFont="1" applyFill="1" applyBorder="1"/>
    <xf numFmtId="3" fontId="36" fillId="26" borderId="24" xfId="569" applyNumberFormat="1" applyFont="1" applyFill="1" applyBorder="1"/>
    <xf numFmtId="0" fontId="36" fillId="0" borderId="201" xfId="569" applyFont="1" applyBorder="1"/>
    <xf numFmtId="0" fontId="36" fillId="0" borderId="201" xfId="569" applyFont="1" applyFill="1" applyBorder="1"/>
    <xf numFmtId="3" fontId="36" fillId="0" borderId="201" xfId="569" applyNumberFormat="1" applyFont="1" applyBorder="1" applyAlignment="1">
      <alignment horizontal="right"/>
    </xf>
    <xf numFmtId="3" fontId="36" fillId="41" borderId="201" xfId="569" applyNumberFormat="1" applyFont="1" applyFill="1" applyBorder="1"/>
    <xf numFmtId="3" fontId="36" fillId="40" borderId="228" xfId="569" applyNumberFormat="1" applyFont="1" applyFill="1" applyBorder="1"/>
    <xf numFmtId="171" fontId="50" fillId="50" borderId="210" xfId="409" applyNumberFormat="1" applyFont="1" applyFill="1" applyBorder="1"/>
    <xf numFmtId="3" fontId="36" fillId="0" borderId="201" xfId="569" applyNumberFormat="1" applyFont="1" applyBorder="1" applyAlignment="1">
      <alignment horizontal="left"/>
    </xf>
    <xf numFmtId="3" fontId="36" fillId="41" borderId="201" xfId="569" applyNumberFormat="1" applyFont="1" applyFill="1" applyBorder="1" applyAlignment="1">
      <alignment horizontal="left"/>
    </xf>
    <xf numFmtId="0" fontId="84" fillId="0" borderId="255" xfId="569" applyFont="1" applyFill="1" applyBorder="1" applyAlignment="1">
      <alignment horizontal="right"/>
    </xf>
    <xf numFmtId="0" fontId="84" fillId="0" borderId="255" xfId="569" applyFont="1" applyFill="1" applyBorder="1"/>
    <xf numFmtId="3" fontId="36" fillId="0" borderId="255" xfId="569" applyNumberFormat="1" applyFont="1" applyBorder="1"/>
    <xf numFmtId="3" fontId="36" fillId="41" borderId="255" xfId="569" applyNumberFormat="1" applyFont="1" applyFill="1" applyBorder="1"/>
    <xf numFmtId="171" fontId="44" fillId="45" borderId="210" xfId="409" applyNumberFormat="1" applyFont="1" applyFill="1" applyBorder="1"/>
    <xf numFmtId="0" fontId="36" fillId="0" borderId="255" xfId="569" applyFont="1" applyBorder="1"/>
    <xf numFmtId="0" fontId="36" fillId="0" borderId="255" xfId="569" applyFont="1" applyFill="1" applyBorder="1"/>
    <xf numFmtId="3" fontId="84" fillId="0" borderId="255" xfId="569" applyNumberFormat="1" applyFont="1" applyFill="1" applyBorder="1" applyAlignment="1">
      <alignment horizontal="right"/>
    </xf>
    <xf numFmtId="171" fontId="44" fillId="46" borderId="210" xfId="409" applyNumberFormat="1" applyFont="1" applyFill="1" applyBorder="1"/>
    <xf numFmtId="0" fontId="37" fillId="0" borderId="255" xfId="569" applyFont="1" applyBorder="1"/>
    <xf numFmtId="0" fontId="37" fillId="0" borderId="255" xfId="569" applyFont="1" applyFill="1" applyBorder="1"/>
    <xf numFmtId="3" fontId="35" fillId="15" borderId="330" xfId="569" applyNumberFormat="1" applyFont="1" applyFill="1" applyBorder="1"/>
    <xf numFmtId="3" fontId="37" fillId="15" borderId="210" xfId="569" applyNumberFormat="1" applyFont="1" applyFill="1" applyBorder="1" applyAlignment="1">
      <alignment horizontal="right"/>
    </xf>
    <xf numFmtId="3" fontId="37" fillId="15" borderId="308" xfId="569" applyNumberFormat="1" applyFont="1" applyFill="1" applyBorder="1"/>
    <xf numFmtId="3" fontId="37" fillId="15" borderId="320" xfId="569" applyNumberFormat="1" applyFont="1" applyFill="1" applyBorder="1"/>
    <xf numFmtId="3" fontId="37" fillId="15" borderId="321" xfId="569" applyNumberFormat="1" applyFont="1" applyFill="1" applyBorder="1"/>
    <xf numFmtId="171" fontId="54" fillId="46" borderId="210" xfId="409" applyNumberFormat="1" applyFont="1" applyFill="1" applyBorder="1"/>
    <xf numFmtId="171" fontId="54" fillId="45" borderId="210" xfId="409" applyNumberFormat="1" applyFont="1" applyFill="1" applyBorder="1"/>
    <xf numFmtId="0" fontId="35" fillId="15" borderId="91" xfId="569" applyFont="1" applyFill="1" applyBorder="1"/>
    <xf numFmtId="0" fontId="37" fillId="0" borderId="201" xfId="569" applyFont="1" applyBorder="1"/>
    <xf numFmtId="0" fontId="37" fillId="0" borderId="201" xfId="569" applyFont="1" applyFill="1" applyBorder="1"/>
    <xf numFmtId="3" fontId="6" fillId="0" borderId="201" xfId="569" applyNumberFormat="1" applyFont="1" applyBorder="1"/>
    <xf numFmtId="3" fontId="6" fillId="0" borderId="178" xfId="569" applyNumberFormat="1" applyFont="1" applyBorder="1"/>
    <xf numFmtId="3" fontId="35" fillId="15" borderId="330" xfId="569" applyNumberFormat="1" applyFont="1" applyFill="1" applyBorder="1" applyAlignment="1">
      <alignment horizontal="right"/>
    </xf>
    <xf numFmtId="3" fontId="35" fillId="15" borderId="308" xfId="569" applyNumberFormat="1" applyFont="1" applyFill="1" applyBorder="1" applyAlignment="1">
      <alignment horizontal="right"/>
    </xf>
    <xf numFmtId="3" fontId="35" fillId="15" borderId="320" xfId="569" applyNumberFormat="1" applyFont="1" applyFill="1" applyBorder="1" applyAlignment="1">
      <alignment horizontal="right"/>
    </xf>
    <xf numFmtId="3" fontId="35" fillId="15" borderId="321" xfId="569" applyNumberFormat="1" applyFont="1" applyFill="1" applyBorder="1" applyAlignment="1">
      <alignment horizontal="right"/>
    </xf>
    <xf numFmtId="0" fontId="43" fillId="7" borderId="74" xfId="569" applyFont="1" applyFill="1" applyBorder="1"/>
    <xf numFmtId="0" fontId="43" fillId="7" borderId="73" xfId="569" applyFont="1" applyFill="1" applyBorder="1" applyAlignment="1">
      <alignment vertical="top"/>
    </xf>
    <xf numFmtId="0" fontId="84" fillId="0" borderId="63" xfId="569" applyFont="1" applyFill="1" applyBorder="1"/>
    <xf numFmtId="0" fontId="84" fillId="0" borderId="64" xfId="569" applyFont="1" applyBorder="1"/>
    <xf numFmtId="0" fontId="84" fillId="0" borderId="189" xfId="569" applyFont="1" applyFill="1" applyBorder="1"/>
    <xf numFmtId="3" fontId="35" fillId="15" borderId="211" xfId="569" applyNumberFormat="1" applyFont="1" applyFill="1" applyBorder="1" applyAlignment="1">
      <alignment horizontal="right"/>
    </xf>
    <xf numFmtId="3" fontId="35" fillId="15" borderId="331" xfId="569" applyNumberFormat="1" applyFont="1" applyFill="1" applyBorder="1"/>
    <xf numFmtId="3" fontId="35" fillId="15" borderId="212" xfId="569" applyNumberFormat="1" applyFont="1" applyFill="1" applyBorder="1"/>
    <xf numFmtId="3" fontId="35" fillId="15" borderId="187" xfId="569" applyNumberFormat="1" applyFont="1" applyFill="1" applyBorder="1"/>
    <xf numFmtId="171" fontId="50" fillId="45" borderId="308" xfId="409" applyNumberFormat="1" applyFont="1" applyFill="1" applyBorder="1"/>
    <xf numFmtId="0" fontId="37" fillId="15" borderId="307" xfId="569" applyFont="1" applyFill="1" applyBorder="1"/>
    <xf numFmtId="0" fontId="37" fillId="15" borderId="308" xfId="569" applyFont="1" applyFill="1" applyBorder="1"/>
    <xf numFmtId="3" fontId="37" fillId="15" borderId="211" xfId="569" applyNumberFormat="1" applyFont="1" applyFill="1" applyBorder="1" applyAlignment="1">
      <alignment horizontal="right"/>
    </xf>
    <xf numFmtId="3" fontId="37" fillId="15" borderId="331" xfId="569" applyNumberFormat="1" applyFont="1" applyFill="1" applyBorder="1"/>
    <xf numFmtId="3" fontId="37" fillId="15" borderId="212" xfId="569" applyNumberFormat="1" applyFont="1" applyFill="1" applyBorder="1"/>
    <xf numFmtId="3" fontId="37" fillId="15" borderId="187" xfId="569" applyNumberFormat="1" applyFont="1" applyFill="1" applyBorder="1"/>
    <xf numFmtId="3" fontId="35" fillId="15" borderId="211" xfId="569" applyNumberFormat="1" applyFont="1" applyFill="1" applyBorder="1"/>
    <xf numFmtId="3" fontId="35" fillId="15" borderId="319" xfId="569" applyNumberFormat="1" applyFont="1" applyFill="1" applyBorder="1"/>
    <xf numFmtId="171" fontId="50" fillId="52" borderId="159" xfId="409" applyNumberFormat="1" applyFont="1" applyFill="1" applyBorder="1"/>
    <xf numFmtId="3" fontId="35" fillId="4" borderId="322" xfId="569" applyNumberFormat="1" applyFont="1" applyFill="1" applyBorder="1"/>
    <xf numFmtId="3" fontId="35" fillId="4" borderId="187" xfId="569" applyNumberFormat="1" applyFont="1" applyFill="1" applyBorder="1"/>
    <xf numFmtId="3" fontId="35" fillId="4" borderId="319" xfId="569" applyNumberFormat="1" applyFont="1" applyFill="1" applyBorder="1"/>
    <xf numFmtId="3" fontId="36" fillId="0" borderId="201" xfId="569" applyNumberFormat="1" applyFont="1" applyFill="1" applyBorder="1"/>
    <xf numFmtId="3" fontId="37" fillId="4" borderId="322" xfId="569" applyNumberFormat="1" applyFont="1" applyFill="1" applyBorder="1"/>
    <xf numFmtId="3" fontId="37" fillId="4" borderId="321" xfId="569" applyNumberFormat="1" applyFont="1" applyFill="1" applyBorder="1" applyAlignment="1">
      <alignment horizontal="right"/>
    </xf>
    <xf numFmtId="3" fontId="37" fillId="4" borderId="330" xfId="569" applyNumberFormat="1" applyFont="1" applyFill="1" applyBorder="1" applyAlignment="1">
      <alignment horizontal="right"/>
    </xf>
    <xf numFmtId="3" fontId="37" fillId="4" borderId="308" xfId="569" applyNumberFormat="1" applyFont="1" applyFill="1" applyBorder="1" applyAlignment="1">
      <alignment horizontal="right"/>
    </xf>
    <xf numFmtId="3" fontId="37" fillId="4" borderId="320" xfId="569" applyNumberFormat="1" applyFont="1" applyFill="1" applyBorder="1" applyAlignment="1">
      <alignment horizontal="right"/>
    </xf>
    <xf numFmtId="0" fontId="43" fillId="7" borderId="235" xfId="569" applyFont="1" applyFill="1" applyBorder="1"/>
    <xf numFmtId="0" fontId="43" fillId="7" borderId="116" xfId="569" applyFont="1" applyFill="1" applyBorder="1" applyAlignment="1">
      <alignment vertical="top"/>
    </xf>
    <xf numFmtId="0" fontId="43" fillId="7" borderId="116" xfId="569" applyFont="1" applyFill="1" applyBorder="1" applyAlignment="1">
      <alignment horizontal="center"/>
    </xf>
    <xf numFmtId="3" fontId="36" fillId="41" borderId="112" xfId="569" applyNumberFormat="1" applyFont="1" applyFill="1" applyBorder="1"/>
    <xf numFmtId="3" fontId="36" fillId="0" borderId="278" xfId="569" applyNumberFormat="1" applyFont="1" applyBorder="1"/>
    <xf numFmtId="3" fontId="35" fillId="15" borderId="95" xfId="569" applyNumberFormat="1" applyFont="1" applyFill="1" applyBorder="1"/>
    <xf numFmtId="3" fontId="43" fillId="0" borderId="92" xfId="569" applyNumberFormat="1" applyFont="1" applyFill="1" applyBorder="1" applyAlignment="1">
      <alignment horizontal="center" vertical="center"/>
    </xf>
    <xf numFmtId="171" fontId="44" fillId="0" borderId="17" xfId="409" applyNumberFormat="1" applyFont="1" applyBorder="1" applyAlignment="1">
      <alignment horizontal="right"/>
    </xf>
    <xf numFmtId="171" fontId="44" fillId="0" borderId="21" xfId="409" applyNumberFormat="1" applyFont="1" applyBorder="1" applyAlignment="1">
      <alignment horizontal="right"/>
    </xf>
    <xf numFmtId="171" fontId="44" fillId="0" borderId="155" xfId="409" applyNumberFormat="1" applyFont="1" applyFill="1" applyBorder="1" applyAlignment="1">
      <alignment horizontal="right"/>
    </xf>
    <xf numFmtId="3" fontId="36" fillId="0" borderId="168" xfId="569" applyNumberFormat="1" applyFont="1" applyFill="1" applyBorder="1"/>
    <xf numFmtId="3" fontId="36" fillId="0" borderId="174" xfId="569" applyNumberFormat="1" applyFont="1" applyFill="1" applyBorder="1"/>
    <xf numFmtId="3" fontId="37" fillId="4" borderId="211" xfId="569" applyNumberFormat="1" applyFont="1" applyFill="1" applyBorder="1" applyAlignment="1">
      <alignment horizontal="right"/>
    </xf>
    <xf numFmtId="3" fontId="37" fillId="4" borderId="159" xfId="569" applyNumberFormat="1" applyFont="1" applyFill="1" applyBorder="1" applyAlignment="1">
      <alignment horizontal="right"/>
    </xf>
    <xf numFmtId="3" fontId="37" fillId="4" borderId="307" xfId="569" applyNumberFormat="1" applyFont="1" applyFill="1" applyBorder="1" applyAlignment="1">
      <alignment horizontal="right"/>
    </xf>
    <xf numFmtId="0" fontId="37" fillId="4" borderId="320" xfId="569" applyFont="1" applyFill="1" applyBorder="1"/>
    <xf numFmtId="3" fontId="36" fillId="0" borderId="75" xfId="569" applyNumberFormat="1" applyFont="1" applyBorder="1"/>
    <xf numFmtId="0" fontId="43" fillId="7" borderId="231" xfId="569" applyFont="1" applyFill="1" applyBorder="1" applyAlignment="1">
      <alignment horizontal="center"/>
    </xf>
    <xf numFmtId="0" fontId="84" fillId="0" borderId="195" xfId="569" applyFont="1" applyFill="1" applyBorder="1"/>
    <xf numFmtId="171" fontId="44" fillId="0" borderId="64" xfId="409" applyNumberFormat="1" applyFont="1" applyFill="1" applyBorder="1" applyAlignment="1">
      <alignment horizontal="right"/>
    </xf>
    <xf numFmtId="3" fontId="84" fillId="0" borderId="262" xfId="569" applyNumberFormat="1" applyFont="1" applyFill="1" applyBorder="1"/>
    <xf numFmtId="3" fontId="35" fillId="15" borderId="322" xfId="569" applyNumberFormat="1" applyFont="1" applyFill="1" applyBorder="1"/>
    <xf numFmtId="0" fontId="31" fillId="4" borderId="324" xfId="569" applyFont="1" applyFill="1" applyBorder="1"/>
    <xf numFmtId="3" fontId="37" fillId="4" borderId="324" xfId="569" applyNumberFormat="1" applyFont="1" applyFill="1" applyBorder="1" applyAlignment="1">
      <alignment horizontal="right"/>
    </xf>
    <xf numFmtId="3" fontId="37" fillId="0" borderId="201" xfId="569" applyNumberFormat="1" applyFont="1" applyBorder="1" applyAlignment="1">
      <alignment horizontal="right"/>
    </xf>
    <xf numFmtId="3" fontId="37" fillId="0" borderId="178" xfId="569" applyNumberFormat="1" applyFont="1" applyBorder="1" applyAlignment="1">
      <alignment horizontal="right"/>
    </xf>
    <xf numFmtId="0" fontId="31" fillId="15" borderId="17" xfId="569" applyFont="1" applyFill="1" applyBorder="1"/>
    <xf numFmtId="0" fontId="36" fillId="0" borderId="181" xfId="569" applyFont="1" applyFill="1" applyBorder="1" applyAlignment="1">
      <alignment horizontal="left"/>
    </xf>
    <xf numFmtId="0" fontId="34" fillId="15" borderId="308" xfId="569" applyFont="1" applyFill="1" applyBorder="1"/>
    <xf numFmtId="3" fontId="35" fillId="15" borderId="332" xfId="569" applyNumberFormat="1" applyFont="1" applyFill="1" applyBorder="1" applyAlignment="1">
      <alignment horizontal="right"/>
    </xf>
    <xf numFmtId="171" fontId="44" fillId="45" borderId="89" xfId="409" applyNumberFormat="1" applyFont="1" applyFill="1" applyBorder="1"/>
    <xf numFmtId="171" fontId="44" fillId="45" borderId="214" xfId="409" applyNumberFormat="1" applyFont="1" applyFill="1" applyBorder="1"/>
    <xf numFmtId="0" fontId="31" fillId="15" borderId="308" xfId="569" applyFont="1" applyFill="1" applyBorder="1"/>
    <xf numFmtId="3" fontId="37" fillId="15" borderId="332" xfId="569" applyNumberFormat="1" applyFont="1" applyFill="1" applyBorder="1" applyAlignment="1">
      <alignment horizontal="right"/>
    </xf>
    <xf numFmtId="171" fontId="54" fillId="45" borderId="159" xfId="409" applyNumberFormat="1" applyFont="1" applyFill="1" applyBorder="1"/>
    <xf numFmtId="171" fontId="44" fillId="45" borderId="108" xfId="409" applyNumberFormat="1" applyFont="1" applyFill="1" applyBorder="1"/>
    <xf numFmtId="171" fontId="44" fillId="47" borderId="162" xfId="409" applyNumberFormat="1" applyFont="1" applyFill="1" applyBorder="1"/>
    <xf numFmtId="171" fontId="54" fillId="45" borderId="89" xfId="409" applyNumberFormat="1" applyFont="1" applyFill="1" applyBorder="1"/>
    <xf numFmtId="0" fontId="43" fillId="7" borderId="201" xfId="569" applyFont="1" applyFill="1" applyBorder="1" applyAlignment="1">
      <alignment horizontal="center"/>
    </xf>
    <xf numFmtId="3" fontId="35" fillId="15" borderId="332" xfId="569" applyNumberFormat="1" applyFont="1" applyFill="1" applyBorder="1"/>
    <xf numFmtId="3" fontId="35" fillId="15" borderId="324" xfId="569" applyNumberFormat="1" applyFont="1" applyFill="1" applyBorder="1"/>
    <xf numFmtId="3" fontId="37" fillId="4" borderId="324" xfId="569" applyNumberFormat="1" applyFont="1" applyFill="1" applyBorder="1"/>
    <xf numFmtId="3" fontId="86" fillId="4" borderId="324" xfId="569" applyNumberFormat="1" applyFont="1" applyFill="1" applyBorder="1"/>
    <xf numFmtId="3" fontId="86" fillId="4" borderId="322" xfId="569" applyNumberFormat="1" applyFont="1" applyFill="1" applyBorder="1"/>
    <xf numFmtId="3" fontId="86" fillId="4" borderId="187" xfId="569" applyNumberFormat="1" applyFont="1" applyFill="1" applyBorder="1"/>
    <xf numFmtId="3" fontId="86" fillId="4" borderId="319" xfId="569" applyNumberFormat="1" applyFont="1" applyFill="1" applyBorder="1"/>
    <xf numFmtId="3" fontId="86" fillId="4" borderId="320" xfId="569" applyNumberFormat="1" applyFont="1" applyFill="1" applyBorder="1"/>
    <xf numFmtId="3" fontId="86" fillId="4" borderId="321" xfId="569" applyNumberFormat="1" applyFont="1" applyFill="1" applyBorder="1"/>
    <xf numFmtId="3" fontId="31" fillId="0" borderId="333" xfId="569" applyNumberFormat="1" applyFont="1" applyFill="1" applyBorder="1" applyAlignment="1">
      <alignment horizontal="center" vertical="center"/>
    </xf>
    <xf numFmtId="3" fontId="37" fillId="4" borderId="187" xfId="569" applyNumberFormat="1" applyFont="1" applyFill="1" applyBorder="1" applyAlignment="1">
      <alignment horizontal="right"/>
    </xf>
    <xf numFmtId="3" fontId="37" fillId="4" borderId="319" xfId="569" applyNumberFormat="1" applyFont="1" applyFill="1" applyBorder="1" applyAlignment="1">
      <alignment horizontal="right"/>
    </xf>
    <xf numFmtId="171" fontId="50" fillId="46" borderId="137" xfId="409" applyNumberFormat="1" applyFont="1" applyFill="1" applyBorder="1" applyAlignment="1">
      <alignment horizontal="right"/>
    </xf>
    <xf numFmtId="3" fontId="35" fillId="15" borderId="187" xfId="569" applyNumberFormat="1" applyFont="1" applyFill="1" applyBorder="1" applyAlignment="1">
      <alignment horizontal="right"/>
    </xf>
    <xf numFmtId="3" fontId="35" fillId="15" borderId="319" xfId="569" applyNumberFormat="1" applyFont="1" applyFill="1" applyBorder="1" applyAlignment="1">
      <alignment horizontal="right"/>
    </xf>
    <xf numFmtId="171" fontId="54" fillId="46" borderId="210" xfId="409" applyNumberFormat="1" applyFont="1" applyFill="1" applyBorder="1" applyAlignment="1">
      <alignment horizontal="right"/>
    </xf>
    <xf numFmtId="14" fontId="37" fillId="15" borderId="16" xfId="569" applyNumberFormat="1" applyFont="1" applyFill="1" applyBorder="1" applyAlignment="1">
      <alignment horizontal="left"/>
    </xf>
    <xf numFmtId="3" fontId="37" fillId="15" borderId="17" xfId="569" applyNumberFormat="1" applyFont="1" applyFill="1" applyBorder="1" applyAlignment="1">
      <alignment horizontal="right"/>
    </xf>
    <xf numFmtId="3" fontId="37" fillId="15" borderId="34" xfId="569" applyNumberFormat="1" applyFont="1" applyFill="1" applyBorder="1" applyAlignment="1">
      <alignment horizontal="right"/>
    </xf>
    <xf numFmtId="3" fontId="37" fillId="15" borderId="191" xfId="569" applyNumberFormat="1" applyFont="1" applyFill="1" applyBorder="1" applyAlignment="1">
      <alignment horizontal="right"/>
    </xf>
    <xf numFmtId="3" fontId="36" fillId="0" borderId="190" xfId="569" applyNumberFormat="1" applyFont="1" applyFill="1" applyBorder="1"/>
    <xf numFmtId="0" fontId="106" fillId="26" borderId="307" xfId="569" applyFont="1" applyFill="1" applyBorder="1"/>
    <xf numFmtId="0" fontId="106" fillId="26" borderId="308" xfId="569" applyFont="1" applyFill="1" applyBorder="1"/>
    <xf numFmtId="0" fontId="106" fillId="26" borderId="211" xfId="569" applyFont="1" applyFill="1" applyBorder="1"/>
    <xf numFmtId="3" fontId="106" fillId="26" borderId="210" xfId="569" applyNumberFormat="1" applyFont="1" applyFill="1" applyBorder="1"/>
    <xf numFmtId="3" fontId="106" fillId="30" borderId="210" xfId="569" applyNumberFormat="1" applyFont="1" applyFill="1" applyBorder="1"/>
    <xf numFmtId="3" fontId="106" fillId="26" borderId="212" xfId="569" applyNumberFormat="1" applyFont="1" applyFill="1" applyBorder="1"/>
    <xf numFmtId="3" fontId="106" fillId="30" borderId="187" xfId="569" applyNumberFormat="1" applyFont="1" applyFill="1" applyBorder="1"/>
    <xf numFmtId="3" fontId="106" fillId="30" borderId="319" xfId="569" applyNumberFormat="1" applyFont="1" applyFill="1" applyBorder="1"/>
    <xf numFmtId="3" fontId="106" fillId="26" borderId="320" xfId="569" applyNumberFormat="1" applyFont="1" applyFill="1" applyBorder="1"/>
    <xf numFmtId="3" fontId="106" fillId="26" borderId="321" xfId="569" applyNumberFormat="1" applyFont="1" applyFill="1" applyBorder="1"/>
    <xf numFmtId="0" fontId="36" fillId="0" borderId="64" xfId="569" applyFont="1" applyFill="1" applyBorder="1" applyAlignment="1">
      <alignment vertical="top"/>
    </xf>
    <xf numFmtId="0" fontId="36" fillId="0" borderId="182" xfId="569" applyFont="1" applyFill="1" applyBorder="1" applyAlignment="1">
      <alignment horizontal="left"/>
    </xf>
    <xf numFmtId="171" fontId="44" fillId="47" borderId="255" xfId="409" applyNumberFormat="1" applyFont="1" applyFill="1" applyBorder="1"/>
    <xf numFmtId="171" fontId="44" fillId="0" borderId="42" xfId="409" applyNumberFormat="1" applyFont="1" applyFill="1" applyBorder="1" applyAlignment="1">
      <alignment horizontal="right"/>
    </xf>
    <xf numFmtId="3" fontId="36" fillId="0" borderId="104" xfId="569" applyNumberFormat="1" applyFont="1" applyFill="1" applyBorder="1"/>
    <xf numFmtId="0" fontId="35" fillId="15" borderId="170" xfId="569" applyFont="1" applyFill="1" applyBorder="1"/>
    <xf numFmtId="0" fontId="34" fillId="15" borderId="99" xfId="569" applyFont="1" applyFill="1" applyBorder="1" applyAlignment="1">
      <alignment vertical="top"/>
    </xf>
    <xf numFmtId="0" fontId="34" fillId="15" borderId="171" xfId="569" applyFont="1" applyFill="1" applyBorder="1" applyAlignment="1">
      <alignment horizontal="left"/>
    </xf>
    <xf numFmtId="3" fontId="35" fillId="15" borderId="99" xfId="569" applyNumberFormat="1" applyFont="1" applyFill="1" applyBorder="1" applyAlignment="1">
      <alignment horizontal="right"/>
    </xf>
    <xf numFmtId="3" fontId="35" fillId="15" borderId="199" xfId="569" applyNumberFormat="1" applyFont="1" applyFill="1" applyBorder="1"/>
    <xf numFmtId="3" fontId="35" fillId="15" borderId="244" xfId="569" applyNumberFormat="1" applyFont="1" applyFill="1" applyBorder="1" applyAlignment="1">
      <alignment horizontal="right"/>
    </xf>
    <xf numFmtId="3" fontId="35" fillId="15" borderId="199" xfId="569" applyNumberFormat="1" applyFont="1" applyFill="1" applyBorder="1" applyAlignment="1">
      <alignment horizontal="right"/>
    </xf>
    <xf numFmtId="3" fontId="35" fillId="15" borderId="260" xfId="569" applyNumberFormat="1" applyFont="1" applyFill="1" applyBorder="1" applyAlignment="1">
      <alignment horizontal="right"/>
    </xf>
    <xf numFmtId="171" fontId="50" fillId="46" borderId="292" xfId="409" applyNumberFormat="1" applyFont="1" applyFill="1" applyBorder="1" applyAlignment="1">
      <alignment horizontal="right"/>
    </xf>
    <xf numFmtId="3" fontId="35" fillId="15" borderId="171" xfId="569" applyNumberFormat="1" applyFont="1" applyFill="1" applyBorder="1" applyAlignment="1">
      <alignment horizontal="right"/>
    </xf>
    <xf numFmtId="3" fontId="35" fillId="15" borderId="245" xfId="569" applyNumberFormat="1" applyFont="1" applyFill="1" applyBorder="1" applyAlignment="1">
      <alignment horizontal="right"/>
    </xf>
    <xf numFmtId="0" fontId="37" fillId="7" borderId="73" xfId="569" applyFont="1" applyFill="1" applyBorder="1" applyAlignment="1">
      <alignment horizontal="center" vertical="center" wrapText="1"/>
    </xf>
    <xf numFmtId="0" fontId="31" fillId="7" borderId="307" xfId="569" applyFont="1" applyFill="1" applyBorder="1"/>
    <xf numFmtId="0" fontId="32" fillId="7" borderId="308" xfId="569" applyFont="1" applyFill="1" applyBorder="1" applyAlignment="1">
      <alignment vertical="top"/>
    </xf>
    <xf numFmtId="0" fontId="31" fillId="7" borderId="320" xfId="569" applyFont="1" applyFill="1" applyBorder="1" applyAlignment="1">
      <alignment horizontal="center"/>
    </xf>
    <xf numFmtId="0" fontId="31" fillId="7" borderId="324" xfId="569" applyFont="1" applyFill="1" applyBorder="1" applyAlignment="1">
      <alignment horizontal="justify" vertical="center"/>
    </xf>
    <xf numFmtId="0" fontId="31" fillId="7" borderId="324" xfId="569" applyFont="1" applyFill="1" applyBorder="1" applyAlignment="1">
      <alignment horizontal="center" vertical="center"/>
    </xf>
    <xf numFmtId="3" fontId="31" fillId="7" borderId="324" xfId="569" applyNumberFormat="1" applyFont="1" applyFill="1" applyBorder="1" applyAlignment="1">
      <alignment horizontal="center" vertical="center"/>
    </xf>
    <xf numFmtId="0" fontId="31" fillId="7" borderId="321" xfId="569" applyNumberFormat="1" applyFont="1" applyFill="1" applyBorder="1" applyAlignment="1">
      <alignment horizontal="center" vertical="center"/>
    </xf>
    <xf numFmtId="0" fontId="37" fillId="7" borderId="308" xfId="569" applyFont="1" applyFill="1" applyBorder="1" applyAlignment="1">
      <alignment horizontal="center" vertical="center" wrapText="1"/>
    </xf>
    <xf numFmtId="0" fontId="98" fillId="15" borderId="307" xfId="569" applyFont="1" applyFill="1" applyBorder="1"/>
    <xf numFmtId="0" fontId="80" fillId="15" borderId="308" xfId="569" applyFont="1" applyFill="1" applyBorder="1" applyAlignment="1">
      <alignment vertical="top"/>
    </xf>
    <xf numFmtId="0" fontId="80" fillId="15" borderId="320" xfId="569" applyFont="1" applyFill="1" applyBorder="1" applyAlignment="1">
      <alignment horizontal="center"/>
    </xf>
    <xf numFmtId="3" fontId="80" fillId="15" borderId="324" xfId="569" applyNumberFormat="1" applyFont="1" applyFill="1" applyBorder="1" applyAlignment="1">
      <alignment horizontal="right" vertical="top"/>
    </xf>
    <xf numFmtId="4" fontId="80" fillId="15" borderId="324" xfId="569" applyNumberFormat="1" applyFont="1" applyFill="1" applyBorder="1" applyAlignment="1">
      <alignment horizontal="right" vertical="top"/>
    </xf>
    <xf numFmtId="3" fontId="80" fillId="15" borderId="324" xfId="569" applyNumberFormat="1" applyFont="1" applyFill="1" applyBorder="1" applyAlignment="1">
      <alignment horizontal="center" vertical="top"/>
    </xf>
    <xf numFmtId="3" fontId="80" fillId="15" borderId="322" xfId="569" applyNumberFormat="1" applyFont="1" applyFill="1" applyBorder="1" applyAlignment="1">
      <alignment horizontal="center" vertical="top"/>
    </xf>
    <xf numFmtId="3" fontId="80" fillId="15" borderId="321" xfId="569" applyNumberFormat="1" applyFont="1" applyFill="1" applyBorder="1" applyAlignment="1">
      <alignment horizontal="center" vertical="top"/>
    </xf>
    <xf numFmtId="3" fontId="80" fillId="15" borderId="330" xfId="569" applyNumberFormat="1" applyFont="1" applyFill="1" applyBorder="1" applyAlignment="1">
      <alignment horizontal="right" vertical="top"/>
    </xf>
    <xf numFmtId="3" fontId="80" fillId="15" borderId="308" xfId="569" applyNumberFormat="1" applyFont="1" applyFill="1" applyBorder="1" applyAlignment="1">
      <alignment horizontal="right" vertical="top"/>
    </xf>
    <xf numFmtId="3" fontId="80" fillId="15" borderId="320" xfId="569" applyNumberFormat="1" applyFont="1" applyFill="1" applyBorder="1" applyAlignment="1">
      <alignment horizontal="right" vertical="top"/>
    </xf>
    <xf numFmtId="3" fontId="80" fillId="15" borderId="321" xfId="569" applyNumberFormat="1" applyFont="1" applyFill="1" applyBorder="1" applyAlignment="1">
      <alignment horizontal="right" vertical="top"/>
    </xf>
    <xf numFmtId="3" fontId="36" fillId="0" borderId="181" xfId="569" applyNumberFormat="1" applyFont="1" applyFill="1" applyBorder="1" applyAlignment="1">
      <alignment horizontal="right"/>
    </xf>
    <xf numFmtId="3" fontId="44" fillId="0" borderId="255" xfId="409" applyNumberFormat="1" applyFont="1" applyFill="1" applyBorder="1" applyAlignment="1">
      <alignment horizontal="right"/>
    </xf>
    <xf numFmtId="0" fontId="98" fillId="15" borderId="308" xfId="569" applyFont="1" applyFill="1" applyBorder="1"/>
    <xf numFmtId="0" fontId="98" fillId="15" borderId="320" xfId="569" applyFont="1" applyFill="1" applyBorder="1"/>
    <xf numFmtId="3" fontId="80" fillId="15" borderId="324" xfId="569" applyNumberFormat="1" applyFont="1" applyFill="1" applyBorder="1" applyAlignment="1">
      <alignment horizontal="right"/>
    </xf>
    <xf numFmtId="4" fontId="80" fillId="15" borderId="324" xfId="569" applyNumberFormat="1" applyFont="1" applyFill="1" applyBorder="1" applyAlignment="1">
      <alignment horizontal="right"/>
    </xf>
    <xf numFmtId="3" fontId="80" fillId="15" borderId="322" xfId="569" applyNumberFormat="1" applyFont="1" applyFill="1" applyBorder="1" applyAlignment="1">
      <alignment horizontal="center"/>
    </xf>
    <xf numFmtId="3" fontId="80" fillId="15" borderId="210" xfId="569" applyNumberFormat="1" applyFont="1" applyFill="1" applyBorder="1" applyAlignment="1">
      <alignment horizontal="right"/>
    </xf>
    <xf numFmtId="3" fontId="80" fillId="15" borderId="213" xfId="569" applyNumberFormat="1" applyFont="1" applyFill="1" applyBorder="1" applyAlignment="1">
      <alignment horizontal="center"/>
    </xf>
    <xf numFmtId="3" fontId="80" fillId="15" borderId="308" xfId="569" applyNumberFormat="1" applyFont="1" applyFill="1" applyBorder="1" applyAlignment="1">
      <alignment horizontal="right"/>
    </xf>
    <xf numFmtId="3" fontId="80" fillId="15" borderId="320" xfId="569" applyNumberFormat="1" applyFont="1" applyFill="1" applyBorder="1" applyAlignment="1">
      <alignment horizontal="right"/>
    </xf>
    <xf numFmtId="3" fontId="80" fillId="15" borderId="321" xfId="569" applyNumberFormat="1" applyFont="1" applyFill="1" applyBorder="1" applyAlignment="1">
      <alignment horizontal="right"/>
    </xf>
    <xf numFmtId="3" fontId="44" fillId="0" borderId="201" xfId="409" applyNumberFormat="1" applyFont="1" applyFill="1" applyBorder="1" applyAlignment="1">
      <alignment horizontal="right"/>
    </xf>
    <xf numFmtId="3" fontId="35" fillId="4" borderId="324" xfId="569" applyNumberFormat="1" applyFont="1" applyFill="1" applyBorder="1" applyAlignment="1">
      <alignment horizontal="right"/>
    </xf>
    <xf numFmtId="4" fontId="35" fillId="4" borderId="324" xfId="569" applyNumberFormat="1" applyFont="1" applyFill="1" applyBorder="1" applyAlignment="1">
      <alignment horizontal="right"/>
    </xf>
    <xf numFmtId="3" fontId="35" fillId="4" borderId="324" xfId="569" applyNumberFormat="1" applyFont="1" applyFill="1" applyBorder="1" applyAlignment="1">
      <alignment horizontal="center"/>
    </xf>
    <xf numFmtId="3" fontId="35" fillId="4" borderId="322" xfId="569" applyNumberFormat="1" applyFont="1" applyFill="1" applyBorder="1" applyAlignment="1">
      <alignment horizontal="center"/>
    </xf>
    <xf numFmtId="3" fontId="35" fillId="4" borderId="321" xfId="569" applyNumberFormat="1" applyFont="1" applyFill="1" applyBorder="1" applyAlignment="1">
      <alignment horizontal="center"/>
    </xf>
    <xf numFmtId="3" fontId="35" fillId="4" borderId="330" xfId="569" applyNumberFormat="1" applyFont="1" applyFill="1" applyBorder="1" applyAlignment="1">
      <alignment horizontal="right"/>
    </xf>
    <xf numFmtId="3" fontId="35" fillId="4" borderId="308" xfId="569" applyNumberFormat="1" applyFont="1" applyFill="1" applyBorder="1" applyAlignment="1">
      <alignment horizontal="right"/>
    </xf>
    <xf numFmtId="3" fontId="44" fillId="0" borderId="200" xfId="409" applyNumberFormat="1" applyFont="1" applyFill="1" applyBorder="1" applyAlignment="1">
      <alignment horizontal="right"/>
    </xf>
    <xf numFmtId="3" fontId="44" fillId="0" borderId="101" xfId="409" applyNumberFormat="1" applyFont="1" applyBorder="1" applyAlignment="1">
      <alignment horizontal="right"/>
    </xf>
    <xf numFmtId="3" fontId="44" fillId="0" borderId="234" xfId="409" applyNumberFormat="1" applyFont="1" applyBorder="1" applyAlignment="1">
      <alignment horizontal="right"/>
    </xf>
    <xf numFmtId="0" fontId="37" fillId="7" borderId="116" xfId="569" applyFont="1" applyFill="1" applyBorder="1" applyAlignment="1">
      <alignment horizontal="center" vertical="center" wrapText="1"/>
    </xf>
    <xf numFmtId="3" fontId="106" fillId="15" borderId="213" xfId="569" applyNumberFormat="1" applyFont="1" applyFill="1" applyBorder="1" applyAlignment="1">
      <alignment horizontal="right"/>
    </xf>
    <xf numFmtId="3" fontId="106" fillId="15" borderId="308" xfId="569" applyNumberFormat="1" applyFont="1" applyFill="1" applyBorder="1" applyAlignment="1">
      <alignment horizontal="right"/>
    </xf>
    <xf numFmtId="0" fontId="31" fillId="7" borderId="235" xfId="569" applyFont="1" applyFill="1" applyBorder="1"/>
    <xf numFmtId="0" fontId="32" fillId="7" borderId="235" xfId="569" applyFont="1" applyFill="1" applyBorder="1" applyAlignment="1">
      <alignment vertical="top"/>
    </xf>
    <xf numFmtId="0" fontId="32" fillId="7" borderId="231" xfId="569" applyFont="1" applyFill="1" applyBorder="1" applyAlignment="1">
      <alignment horizontal="center"/>
    </xf>
    <xf numFmtId="0" fontId="31" fillId="7" borderId="258" xfId="569" applyFont="1" applyFill="1" applyBorder="1" applyAlignment="1">
      <alignment horizontal="justify" vertical="center"/>
    </xf>
    <xf numFmtId="0" fontId="31" fillId="7" borderId="258" xfId="569" applyFont="1" applyFill="1" applyBorder="1" applyAlignment="1">
      <alignment horizontal="center" vertical="center"/>
    </xf>
    <xf numFmtId="3" fontId="31" fillId="7" borderId="258" xfId="569" applyNumberFormat="1" applyFont="1" applyFill="1" applyBorder="1" applyAlignment="1">
      <alignment horizontal="center" vertical="center"/>
    </xf>
    <xf numFmtId="0" fontId="31" fillId="7" borderId="232" xfId="569" applyNumberFormat="1" applyFont="1" applyFill="1" applyBorder="1" applyAlignment="1">
      <alignment horizontal="center" vertical="center"/>
    </xf>
    <xf numFmtId="0" fontId="36" fillId="0" borderId="111" xfId="569" applyFont="1" applyBorder="1"/>
    <xf numFmtId="0" fontId="36" fillId="0" borderId="254" xfId="569" applyFont="1" applyFill="1" applyBorder="1"/>
    <xf numFmtId="3" fontId="44" fillId="0" borderId="262" xfId="409" applyNumberFormat="1" applyFont="1" applyBorder="1" applyAlignment="1">
      <alignment horizontal="right"/>
    </xf>
    <xf numFmtId="0" fontId="131" fillId="15" borderId="307" xfId="569" applyFont="1" applyFill="1" applyBorder="1"/>
    <xf numFmtId="0" fontId="131" fillId="15" borderId="320" xfId="569" applyFont="1" applyFill="1" applyBorder="1"/>
    <xf numFmtId="3" fontId="106" fillId="15" borderId="324" xfId="569" applyNumberFormat="1" applyFont="1" applyFill="1" applyBorder="1" applyAlignment="1">
      <alignment horizontal="right"/>
    </xf>
    <xf numFmtId="4" fontId="106" fillId="15" borderId="324" xfId="569" applyNumberFormat="1" applyFont="1" applyFill="1" applyBorder="1" applyAlignment="1">
      <alignment horizontal="right"/>
    </xf>
    <xf numFmtId="3" fontId="106" fillId="15" borderId="322" xfId="569" applyNumberFormat="1" applyFont="1" applyFill="1" applyBorder="1" applyAlignment="1">
      <alignment horizontal="right"/>
    </xf>
    <xf numFmtId="3" fontId="106" fillId="15" borderId="321" xfId="569" applyNumberFormat="1" applyFont="1" applyFill="1" applyBorder="1" applyAlignment="1">
      <alignment horizontal="right"/>
    </xf>
    <xf numFmtId="3" fontId="106" fillId="15" borderId="320" xfId="569" applyNumberFormat="1" applyFont="1" applyFill="1" applyBorder="1" applyAlignment="1">
      <alignment horizontal="right"/>
    </xf>
    <xf numFmtId="3" fontId="35" fillId="15" borderId="324" xfId="569" applyNumberFormat="1" applyFont="1" applyFill="1" applyBorder="1" applyAlignment="1">
      <alignment horizontal="right"/>
    </xf>
    <xf numFmtId="4" fontId="35" fillId="15" borderId="324" xfId="569" applyNumberFormat="1" applyFont="1" applyFill="1" applyBorder="1" applyAlignment="1">
      <alignment horizontal="right"/>
    </xf>
    <xf numFmtId="3" fontId="35" fillId="15" borderId="322" xfId="569" applyNumberFormat="1" applyFont="1" applyFill="1" applyBorder="1" applyAlignment="1">
      <alignment horizontal="right"/>
    </xf>
    <xf numFmtId="3" fontId="35" fillId="15" borderId="335" xfId="569" applyNumberFormat="1" applyFont="1" applyFill="1" applyBorder="1" applyAlignment="1">
      <alignment horizontal="right"/>
    </xf>
    <xf numFmtId="3" fontId="44" fillId="40" borderId="34" xfId="409" applyNumberFormat="1" applyFont="1" applyFill="1" applyBorder="1" applyAlignment="1">
      <alignment horizontal="right"/>
    </xf>
    <xf numFmtId="3" fontId="36" fillId="0" borderId="171" xfId="569" applyNumberFormat="1" applyFont="1" applyBorder="1" applyAlignment="1">
      <alignment horizontal="right"/>
    </xf>
    <xf numFmtId="0" fontId="36" fillId="0" borderId="201" xfId="569" applyFont="1" applyBorder="1" applyAlignment="1"/>
    <xf numFmtId="3" fontId="35" fillId="4" borderId="320" xfId="569" applyNumberFormat="1" applyFont="1" applyFill="1" applyBorder="1" applyAlignment="1">
      <alignment horizontal="right"/>
    </xf>
    <xf numFmtId="3" fontId="35" fillId="4" borderId="321" xfId="569" applyNumberFormat="1" applyFont="1" applyFill="1" applyBorder="1" applyAlignment="1">
      <alignment horizontal="right"/>
    </xf>
    <xf numFmtId="0" fontId="36" fillId="0" borderId="182" xfId="569" applyFont="1" applyBorder="1"/>
    <xf numFmtId="3" fontId="36" fillId="0" borderId="64" xfId="569" applyNumberFormat="1" applyFont="1" applyBorder="1" applyAlignment="1">
      <alignment horizontal="right"/>
    </xf>
    <xf numFmtId="3" fontId="37" fillId="0" borderId="64" xfId="569" applyNumberFormat="1" applyFont="1" applyBorder="1" applyAlignment="1">
      <alignment horizontal="right"/>
    </xf>
    <xf numFmtId="4" fontId="36" fillId="0" borderId="64" xfId="569" applyNumberFormat="1" applyFont="1" applyBorder="1" applyAlignment="1">
      <alignment horizontal="right"/>
    </xf>
    <xf numFmtId="3" fontId="36" fillId="0" borderId="189" xfId="569" applyNumberFormat="1" applyFont="1" applyFill="1" applyBorder="1" applyAlignment="1">
      <alignment horizontal="right"/>
    </xf>
    <xf numFmtId="3" fontId="31" fillId="15" borderId="324" xfId="569" applyNumberFormat="1" applyFont="1" applyFill="1" applyBorder="1"/>
    <xf numFmtId="3" fontId="31" fillId="15" borderId="324" xfId="569" applyNumberFormat="1" applyFont="1" applyFill="1" applyBorder="1" applyAlignment="1">
      <alignment horizontal="right"/>
    </xf>
    <xf numFmtId="3" fontId="36" fillId="15" borderId="322" xfId="569" applyNumberFormat="1" applyFont="1" applyFill="1" applyBorder="1" applyAlignment="1">
      <alignment horizontal="right"/>
    </xf>
    <xf numFmtId="3" fontId="36" fillId="15" borderId="213" xfId="569" applyNumberFormat="1" applyFont="1" applyFill="1" applyBorder="1" applyAlignment="1">
      <alignment horizontal="right"/>
    </xf>
    <xf numFmtId="3" fontId="37" fillId="15" borderId="330" xfId="569" applyNumberFormat="1" applyFont="1" applyFill="1" applyBorder="1" applyAlignment="1">
      <alignment horizontal="right"/>
    </xf>
    <xf numFmtId="3" fontId="37" fillId="15" borderId="308" xfId="569" applyNumberFormat="1" applyFont="1" applyFill="1" applyBorder="1" applyAlignment="1">
      <alignment horizontal="right"/>
    </xf>
    <xf numFmtId="3" fontId="37" fillId="15" borderId="320" xfId="569" applyNumberFormat="1" applyFont="1" applyFill="1" applyBorder="1" applyAlignment="1">
      <alignment horizontal="right"/>
    </xf>
    <xf numFmtId="3" fontId="37" fillId="15" borderId="321" xfId="569" applyNumberFormat="1" applyFont="1" applyFill="1" applyBorder="1" applyAlignment="1">
      <alignment horizontal="right"/>
    </xf>
    <xf numFmtId="3" fontId="36" fillId="0" borderId="56" xfId="569" applyNumberFormat="1" applyFont="1" applyFill="1" applyBorder="1" applyAlignment="1">
      <alignment horizontal="right"/>
    </xf>
    <xf numFmtId="3" fontId="36" fillId="0" borderId="174" xfId="569" applyNumberFormat="1" applyFont="1" applyFill="1" applyBorder="1" applyAlignment="1">
      <alignment horizontal="right"/>
    </xf>
    <xf numFmtId="3" fontId="36" fillId="0" borderId="57" xfId="569" applyNumberFormat="1" applyFont="1" applyFill="1" applyBorder="1" applyAlignment="1">
      <alignment horizontal="right"/>
    </xf>
    <xf numFmtId="3" fontId="36" fillId="0" borderId="217" xfId="569" applyNumberFormat="1" applyFont="1" applyFill="1" applyBorder="1" applyAlignment="1">
      <alignment horizontal="right"/>
    </xf>
    <xf numFmtId="3" fontId="37" fillId="3" borderId="338" xfId="569" applyNumberFormat="1" applyFont="1" applyFill="1" applyBorder="1" applyAlignment="1">
      <alignment horizontal="right"/>
    </xf>
    <xf numFmtId="3" fontId="35" fillId="4" borderId="322" xfId="569" applyNumberFormat="1" applyFont="1" applyFill="1" applyBorder="1" applyAlignment="1">
      <alignment horizontal="right"/>
    </xf>
    <xf numFmtId="0" fontId="32" fillId="7" borderId="116" xfId="569" applyFont="1" applyFill="1" applyBorder="1" applyAlignment="1">
      <alignment vertical="top"/>
    </xf>
    <xf numFmtId="3" fontId="35" fillId="26" borderId="210" xfId="569" applyNumberFormat="1" applyFont="1" applyFill="1" applyBorder="1" applyAlignment="1">
      <alignment horizontal="right"/>
    </xf>
    <xf numFmtId="3" fontId="35" fillId="15" borderId="307" xfId="569" applyNumberFormat="1" applyFont="1" applyFill="1" applyBorder="1" applyAlignment="1">
      <alignment horizontal="right"/>
    </xf>
    <xf numFmtId="0" fontId="0" fillId="0" borderId="137" xfId="0" applyBorder="1"/>
    <xf numFmtId="0" fontId="0" fillId="0" borderId="127" xfId="0" applyBorder="1"/>
    <xf numFmtId="0" fontId="0" fillId="0" borderId="203" xfId="0" applyBorder="1"/>
    <xf numFmtId="0" fontId="0" fillId="58" borderId="126" xfId="0" applyFill="1" applyBorder="1"/>
    <xf numFmtId="0" fontId="0" fillId="58" borderId="198" xfId="0" applyFill="1" applyBorder="1"/>
    <xf numFmtId="0" fontId="50" fillId="58" borderId="198" xfId="0" applyFont="1" applyFill="1" applyBorder="1"/>
    <xf numFmtId="0" fontId="36" fillId="0" borderId="168" xfId="569" applyFont="1" applyBorder="1" applyAlignment="1">
      <alignment horizontal="left"/>
    </xf>
    <xf numFmtId="4" fontId="35" fillId="4" borderId="324" xfId="569" applyNumberFormat="1" applyFont="1" applyFill="1" applyBorder="1"/>
    <xf numFmtId="0" fontId="0" fillId="0" borderId="152" xfId="0" applyBorder="1"/>
    <xf numFmtId="0" fontId="0" fillId="0" borderId="201" xfId="0" applyBorder="1"/>
    <xf numFmtId="0" fontId="0" fillId="0" borderId="202" xfId="0" applyBorder="1"/>
    <xf numFmtId="0" fontId="0" fillId="50" borderId="257" xfId="0" applyFill="1" applyBorder="1"/>
    <xf numFmtId="0" fontId="0" fillId="50" borderId="210" xfId="0" applyFill="1" applyBorder="1"/>
    <xf numFmtId="0" fontId="0" fillId="50" borderId="326" xfId="0" applyFill="1" applyBorder="1"/>
    <xf numFmtId="0" fontId="44" fillId="0" borderId="127" xfId="0" applyFont="1" applyBorder="1"/>
    <xf numFmtId="0" fontId="44" fillId="0" borderId="137" xfId="0" applyFont="1" applyBorder="1"/>
    <xf numFmtId="0" fontId="36" fillId="0" borderId="182" xfId="569" applyFont="1" applyBorder="1" applyAlignment="1">
      <alignment horizontal="left"/>
    </xf>
    <xf numFmtId="3" fontId="44" fillId="0" borderId="255" xfId="409" applyNumberFormat="1" applyFont="1" applyFill="1" applyBorder="1"/>
    <xf numFmtId="3" fontId="44" fillId="0" borderId="64" xfId="409" applyNumberFormat="1" applyFont="1" applyBorder="1" applyAlignment="1">
      <alignment horizontal="right"/>
    </xf>
    <xf numFmtId="0" fontId="31" fillId="7" borderId="335" xfId="569" applyFont="1" applyFill="1" applyBorder="1" applyAlignment="1">
      <alignment horizontal="center"/>
    </xf>
    <xf numFmtId="4" fontId="31" fillId="7" borderId="324" xfId="569" applyNumberFormat="1" applyFont="1" applyFill="1" applyBorder="1" applyAlignment="1">
      <alignment horizontal="justify" vertical="top"/>
    </xf>
    <xf numFmtId="2" fontId="31" fillId="7" borderId="324" xfId="569" applyNumberFormat="1" applyFont="1" applyFill="1" applyBorder="1" applyAlignment="1">
      <alignment horizontal="justify" vertical="center"/>
    </xf>
    <xf numFmtId="0" fontId="36" fillId="0" borderId="168" xfId="569" applyFont="1" applyBorder="1"/>
    <xf numFmtId="4" fontId="37" fillId="3" borderId="58" xfId="569" applyNumberFormat="1" applyFont="1" applyFill="1" applyBorder="1"/>
    <xf numFmtId="3" fontId="37" fillId="3" borderId="58" xfId="569" applyNumberFormat="1" applyFont="1" applyFill="1" applyBorder="1"/>
    <xf numFmtId="3" fontId="37" fillId="3" borderId="35" xfId="569" applyNumberFormat="1" applyFont="1" applyFill="1" applyBorder="1"/>
    <xf numFmtId="3" fontId="35" fillId="4" borderId="187" xfId="569" applyNumberFormat="1" applyFont="1" applyFill="1" applyBorder="1" applyAlignment="1">
      <alignment horizontal="right"/>
    </xf>
    <xf numFmtId="3" fontId="35" fillId="4" borderId="319" xfId="569" applyNumberFormat="1" applyFont="1" applyFill="1" applyBorder="1" applyAlignment="1">
      <alignment horizontal="right"/>
    </xf>
    <xf numFmtId="3" fontId="44" fillId="0" borderId="110" xfId="409" applyNumberFormat="1" applyFont="1" applyFill="1" applyBorder="1" applyAlignment="1">
      <alignment horizontal="right" vertical="center"/>
    </xf>
    <xf numFmtId="0" fontId="84" fillId="0" borderId="255" xfId="569" applyFont="1" applyFill="1" applyBorder="1" applyAlignment="1">
      <alignment vertical="top"/>
    </xf>
    <xf numFmtId="0" fontId="84" fillId="0" borderId="255" xfId="569" applyFont="1" applyFill="1" applyBorder="1" applyAlignment="1">
      <alignment horizontal="left"/>
    </xf>
    <xf numFmtId="3" fontId="44" fillId="0" borderId="255" xfId="409" applyNumberFormat="1" applyFont="1" applyFill="1" applyBorder="1" applyAlignment="1">
      <alignment horizontal="right" vertical="center"/>
    </xf>
    <xf numFmtId="3" fontId="44" fillId="0" borderId="112" xfId="409" applyNumberFormat="1" applyFont="1" applyFill="1" applyBorder="1" applyAlignment="1">
      <alignment horizontal="right" vertical="center"/>
    </xf>
    <xf numFmtId="0" fontId="31" fillId="7" borderId="307" xfId="569" applyFont="1" applyFill="1" applyBorder="1" applyAlignment="1">
      <alignment vertical="top"/>
    </xf>
    <xf numFmtId="3" fontId="44" fillId="0" borderId="114" xfId="409" applyNumberFormat="1" applyFont="1" applyBorder="1" applyAlignment="1">
      <alignment horizontal="right"/>
    </xf>
    <xf numFmtId="3" fontId="44" fillId="0" borderId="201" xfId="409" applyNumberFormat="1" applyFont="1" applyBorder="1"/>
    <xf numFmtId="0" fontId="34" fillId="4" borderId="307" xfId="569" applyFont="1" applyFill="1" applyBorder="1"/>
    <xf numFmtId="0" fontId="34" fillId="4" borderId="308" xfId="569" applyFont="1" applyFill="1" applyBorder="1"/>
    <xf numFmtId="0" fontId="34" fillId="4" borderId="320" xfId="569" applyFont="1" applyFill="1" applyBorder="1"/>
    <xf numFmtId="0" fontId="35" fillId="4" borderId="324" xfId="569" applyFont="1" applyFill="1" applyBorder="1"/>
    <xf numFmtId="4" fontId="36" fillId="0" borderId="255" xfId="569" applyNumberFormat="1" applyFont="1" applyBorder="1"/>
    <xf numFmtId="4" fontId="36" fillId="0" borderId="255" xfId="569" applyNumberFormat="1" applyFont="1" applyFill="1" applyBorder="1"/>
    <xf numFmtId="3" fontId="44" fillId="0" borderId="255" xfId="409" applyNumberFormat="1" applyFont="1" applyBorder="1"/>
    <xf numFmtId="0" fontId="37" fillId="7" borderId="330" xfId="569" applyFont="1" applyFill="1" applyBorder="1" applyAlignment="1">
      <alignment horizontal="center" vertical="center" wrapText="1"/>
    </xf>
    <xf numFmtId="0" fontId="31" fillId="3" borderId="307" xfId="569" applyFont="1" applyFill="1" applyBorder="1"/>
    <xf numFmtId="0" fontId="6" fillId="3" borderId="308" xfId="569" applyFont="1" applyFill="1" applyBorder="1"/>
    <xf numFmtId="0" fontId="31" fillId="3" borderId="330" xfId="569" applyFont="1" applyFill="1" applyBorder="1"/>
    <xf numFmtId="4" fontId="37" fillId="3" borderId="187" xfId="569" applyNumberFormat="1" applyFont="1" applyFill="1" applyBorder="1"/>
    <xf numFmtId="3" fontId="37" fillId="3" borderId="187" xfId="569" applyNumberFormat="1" applyFont="1" applyFill="1" applyBorder="1"/>
    <xf numFmtId="3" fontId="37" fillId="3" borderId="319" xfId="569" applyNumberFormat="1" applyFont="1" applyFill="1" applyBorder="1"/>
    <xf numFmtId="3" fontId="37" fillId="3" borderId="187" xfId="569" applyNumberFormat="1" applyFont="1" applyFill="1" applyBorder="1" applyAlignment="1">
      <alignment horizontal="right"/>
    </xf>
    <xf numFmtId="3" fontId="37" fillId="3" borderId="308" xfId="569" applyNumberFormat="1" applyFont="1" applyFill="1" applyBorder="1" applyAlignment="1">
      <alignment horizontal="right"/>
    </xf>
    <xf numFmtId="3" fontId="37" fillId="3" borderId="188" xfId="569" applyNumberFormat="1" applyFont="1" applyFill="1" applyBorder="1"/>
    <xf numFmtId="0" fontId="31" fillId="7" borderId="308" xfId="569" applyFont="1" applyFill="1" applyBorder="1" applyAlignment="1">
      <alignment vertical="top"/>
    </xf>
    <xf numFmtId="0" fontId="86" fillId="0" borderId="98" xfId="569" applyFont="1" applyBorder="1" applyAlignment="1">
      <alignment horizontal="left"/>
    </xf>
    <xf numFmtId="0" fontId="86" fillId="0" borderId="255" xfId="569" applyFont="1" applyBorder="1" applyAlignment="1">
      <alignment horizontal="left"/>
    </xf>
    <xf numFmtId="0" fontId="84" fillId="0" borderId="75" xfId="569" applyFont="1" applyBorder="1" applyAlignment="1">
      <alignment horizontal="left"/>
    </xf>
    <xf numFmtId="3" fontId="84" fillId="0" borderId="111" xfId="569" applyNumberFormat="1" applyFont="1" applyFill="1" applyBorder="1"/>
    <xf numFmtId="3" fontId="44" fillId="0" borderId="300" xfId="409" applyNumberFormat="1" applyFont="1" applyBorder="1"/>
    <xf numFmtId="0" fontId="86" fillId="0" borderId="195" xfId="569" applyFont="1" applyBorder="1" applyAlignment="1">
      <alignment horizontal="left"/>
    </xf>
    <xf numFmtId="0" fontId="36" fillId="0" borderId="254" xfId="569" applyFont="1" applyBorder="1" applyAlignment="1">
      <alignment horizontal="left"/>
    </xf>
    <xf numFmtId="0" fontId="36" fillId="0" borderId="255" xfId="569" applyFont="1" applyBorder="1" applyAlignment="1">
      <alignment horizontal="left"/>
    </xf>
    <xf numFmtId="3" fontId="36" fillId="0" borderId="111" xfId="569" applyNumberFormat="1" applyFont="1" applyBorder="1"/>
    <xf numFmtId="3" fontId="44" fillId="0" borderId="256" xfId="409" applyNumberFormat="1" applyFont="1" applyBorder="1"/>
    <xf numFmtId="0" fontId="68" fillId="0" borderId="63" xfId="569" applyFont="1" applyBorder="1"/>
    <xf numFmtId="0" fontId="68" fillId="0" borderId="64" xfId="569" applyFont="1" applyBorder="1"/>
    <xf numFmtId="0" fontId="68" fillId="0" borderId="75" xfId="569" applyFont="1" applyBorder="1"/>
    <xf numFmtId="0" fontId="68" fillId="0" borderId="57" xfId="569" applyFont="1" applyBorder="1"/>
    <xf numFmtId="3" fontId="36" fillId="0" borderId="339" xfId="569" applyNumberFormat="1" applyFont="1" applyBorder="1"/>
    <xf numFmtId="3" fontId="36" fillId="0" borderId="340" xfId="569" applyNumberFormat="1" applyFont="1" applyBorder="1"/>
    <xf numFmtId="3" fontId="36" fillId="0" borderId="107" xfId="569" applyNumberFormat="1" applyFont="1" applyBorder="1" applyAlignment="1">
      <alignment horizontal="right"/>
    </xf>
    <xf numFmtId="3" fontId="36" fillId="0" borderId="341" xfId="569" applyNumberFormat="1" applyFont="1" applyBorder="1"/>
    <xf numFmtId="0" fontId="85" fillId="4" borderId="307" xfId="569" applyFont="1" applyFill="1" applyBorder="1"/>
    <xf numFmtId="0" fontId="85" fillId="4" borderId="308" xfId="569" applyFont="1" applyFill="1" applyBorder="1"/>
    <xf numFmtId="0" fontId="85" fillId="4" borderId="320" xfId="569" applyFont="1" applyFill="1" applyBorder="1"/>
    <xf numFmtId="4" fontId="86" fillId="4" borderId="324" xfId="569" applyNumberFormat="1" applyFont="1" applyFill="1" applyBorder="1"/>
    <xf numFmtId="3" fontId="86" fillId="4" borderId="308" xfId="569" applyNumberFormat="1" applyFont="1" applyFill="1" applyBorder="1" applyAlignment="1">
      <alignment horizontal="right"/>
    </xf>
    <xf numFmtId="0" fontId="36" fillId="0" borderId="296" xfId="569" applyFont="1" applyBorder="1"/>
    <xf numFmtId="3" fontId="36" fillId="40" borderId="201" xfId="569" applyNumberFormat="1" applyFont="1" applyFill="1" applyBorder="1"/>
    <xf numFmtId="3" fontId="37" fillId="3" borderId="330" xfId="569" applyNumberFormat="1" applyFont="1" applyFill="1" applyBorder="1"/>
    <xf numFmtId="3" fontId="86" fillId="3" borderId="187" xfId="569" applyNumberFormat="1" applyFont="1" applyFill="1" applyBorder="1"/>
    <xf numFmtId="3" fontId="86" fillId="3" borderId="319" xfId="569" applyNumberFormat="1" applyFont="1" applyFill="1" applyBorder="1"/>
    <xf numFmtId="3" fontId="37" fillId="3" borderId="320" xfId="569" applyNumberFormat="1" applyFont="1" applyFill="1" applyBorder="1"/>
    <xf numFmtId="0" fontId="31" fillId="3" borderId="308" xfId="569" applyFont="1" applyFill="1" applyBorder="1"/>
    <xf numFmtId="171" fontId="129" fillId="45" borderId="137" xfId="409" applyNumberFormat="1" applyFont="1" applyFill="1" applyBorder="1" applyAlignment="1">
      <alignment horizontal="left"/>
    </xf>
    <xf numFmtId="3" fontId="43" fillId="4" borderId="73" xfId="569" applyNumberFormat="1" applyFont="1" applyFill="1" applyBorder="1" applyAlignment="1">
      <alignment horizontal="center" vertical="center"/>
    </xf>
    <xf numFmtId="0" fontId="43" fillId="4" borderId="139" xfId="569" applyFont="1" applyFill="1" applyBorder="1" applyAlignment="1">
      <alignment horizontal="center" vertical="center"/>
    </xf>
    <xf numFmtId="0" fontId="43" fillId="4" borderId="30" xfId="569" applyFont="1" applyFill="1" applyBorder="1" applyAlignment="1">
      <alignment horizontal="center" vertical="center"/>
    </xf>
    <xf numFmtId="0" fontId="43" fillId="4" borderId="73" xfId="569" applyFont="1" applyFill="1" applyBorder="1" applyAlignment="1">
      <alignment horizontal="center" vertical="center"/>
    </xf>
    <xf numFmtId="171" fontId="44" fillId="45" borderId="0" xfId="409" applyNumberFormat="1" applyFont="1" applyFill="1" applyBorder="1" applyAlignment="1">
      <alignment horizontal="center"/>
    </xf>
    <xf numFmtId="171" fontId="44" fillId="46" borderId="89" xfId="409" applyNumberFormat="1" applyFont="1" applyFill="1" applyBorder="1" applyAlignment="1">
      <alignment horizontal="center"/>
    </xf>
    <xf numFmtId="171" fontId="44" fillId="46" borderId="162" xfId="409" applyNumberFormat="1" applyFont="1" applyFill="1" applyBorder="1" applyAlignment="1">
      <alignment horizontal="center"/>
    </xf>
    <xf numFmtId="171" fontId="44" fillId="45" borderId="214" xfId="409" applyNumberFormat="1" applyFont="1" applyFill="1" applyBorder="1" applyAlignment="1">
      <alignment horizontal="center"/>
    </xf>
    <xf numFmtId="171" fontId="44" fillId="45" borderId="89" xfId="409" applyNumberFormat="1" applyFont="1" applyFill="1" applyBorder="1" applyAlignment="1">
      <alignment horizontal="center"/>
    </xf>
    <xf numFmtId="171" fontId="44" fillId="46" borderId="108" xfId="409" applyNumberFormat="1" applyFont="1" applyFill="1" applyBorder="1" applyAlignment="1">
      <alignment horizontal="center"/>
    </xf>
    <xf numFmtId="171" fontId="50" fillId="52" borderId="159" xfId="409" applyNumberFormat="1" applyFont="1" applyFill="1" applyBorder="1" applyAlignment="1">
      <alignment horizontal="center"/>
    </xf>
    <xf numFmtId="171" fontId="50" fillId="53" borderId="90" xfId="409" applyNumberFormat="1" applyFont="1" applyFill="1" applyBorder="1" applyAlignment="1">
      <alignment horizontal="center"/>
    </xf>
    <xf numFmtId="171" fontId="50" fillId="52" borderId="210" xfId="409" applyNumberFormat="1" applyFont="1" applyFill="1" applyBorder="1" applyAlignment="1">
      <alignment horizontal="center"/>
    </xf>
    <xf numFmtId="171" fontId="50" fillId="53" borderId="159" xfId="409" applyNumberFormat="1" applyFont="1" applyFill="1" applyBorder="1" applyAlignment="1">
      <alignment horizontal="center"/>
    </xf>
    <xf numFmtId="171" fontId="50" fillId="50" borderId="210" xfId="409" applyNumberFormat="1" applyFont="1" applyFill="1" applyBorder="1" applyAlignment="1">
      <alignment horizontal="center"/>
    </xf>
    <xf numFmtId="171" fontId="50" fillId="52" borderId="308" xfId="409" applyNumberFormat="1" applyFont="1" applyFill="1" applyBorder="1" applyAlignment="1">
      <alignment horizontal="center"/>
    </xf>
    <xf numFmtId="171" fontId="50" fillId="53" borderId="36" xfId="409" applyNumberFormat="1" applyFont="1" applyFill="1" applyBorder="1" applyAlignment="1">
      <alignment horizontal="center"/>
    </xf>
    <xf numFmtId="0" fontId="44" fillId="0" borderId="0" xfId="0" applyFont="1"/>
    <xf numFmtId="3" fontId="36" fillId="0" borderId="44" xfId="569" applyNumberFormat="1" applyFont="1" applyFill="1" applyBorder="1"/>
    <xf numFmtId="3" fontId="36" fillId="0" borderId="54" xfId="569" applyNumberFormat="1" applyFont="1" applyFill="1" applyBorder="1"/>
    <xf numFmtId="3" fontId="128" fillId="0" borderId="54" xfId="569" applyNumberFormat="1" applyFont="1" applyFill="1" applyBorder="1"/>
    <xf numFmtId="3" fontId="36" fillId="0" borderId="46" xfId="569" applyNumberFormat="1" applyFont="1" applyFill="1" applyBorder="1"/>
    <xf numFmtId="3" fontId="84" fillId="0" borderId="166" xfId="569" applyNumberFormat="1" applyFont="1" applyFill="1" applyBorder="1"/>
    <xf numFmtId="3" fontId="84" fillId="0" borderId="87" xfId="569" applyNumberFormat="1" applyFont="1" applyFill="1" applyBorder="1"/>
    <xf numFmtId="3" fontId="84" fillId="0" borderId="87" xfId="569" applyNumberFormat="1" applyFont="1" applyFill="1" applyBorder="1" applyAlignment="1">
      <alignment horizontal="right"/>
    </xf>
    <xf numFmtId="3" fontId="84" fillId="0" borderId="88" xfId="569" applyNumberFormat="1" applyFont="1" applyFill="1" applyBorder="1"/>
    <xf numFmtId="3" fontId="36" fillId="0" borderId="166" xfId="569" applyNumberFormat="1" applyFont="1" applyFill="1" applyBorder="1" applyAlignment="1">
      <alignment horizontal="right"/>
    </xf>
    <xf numFmtId="3" fontId="69" fillId="0" borderId="87" xfId="569" applyNumberFormat="1" applyFont="1" applyFill="1" applyBorder="1" applyAlignment="1">
      <alignment horizontal="right"/>
    </xf>
    <xf numFmtId="3" fontId="36" fillId="0" borderId="88" xfId="569" applyNumberFormat="1" applyFont="1" applyFill="1" applyBorder="1" applyAlignment="1">
      <alignment horizontal="right"/>
    </xf>
    <xf numFmtId="3" fontId="69" fillId="0" borderId="87" xfId="569" applyNumberFormat="1" applyFont="1" applyFill="1" applyBorder="1"/>
    <xf numFmtId="3" fontId="36" fillId="0" borderId="87" xfId="569" applyNumberFormat="1" applyFont="1" applyFill="1" applyBorder="1" applyAlignment="1">
      <alignment horizontal="left"/>
    </xf>
    <xf numFmtId="3" fontId="36" fillId="0" borderId="166" xfId="569" applyNumberFormat="1" applyFont="1" applyFill="1" applyBorder="1" applyAlignment="1">
      <alignment horizontal="left"/>
    </xf>
    <xf numFmtId="3" fontId="36" fillId="0" borderId="88" xfId="569" applyNumberFormat="1" applyFont="1" applyFill="1" applyBorder="1" applyAlignment="1">
      <alignment horizontal="left"/>
    </xf>
    <xf numFmtId="3" fontId="97" fillId="0" borderId="88" xfId="569" applyNumberFormat="1" applyFont="1" applyFill="1" applyBorder="1" applyAlignment="1">
      <alignment horizontal="right"/>
    </xf>
    <xf numFmtId="3" fontId="97" fillId="0" borderId="88" xfId="569" applyNumberFormat="1" applyFont="1" applyFill="1" applyBorder="1" applyAlignment="1">
      <alignment horizontal="left"/>
    </xf>
    <xf numFmtId="3" fontId="97" fillId="0" borderId="89" xfId="569" applyNumberFormat="1" applyFont="1" applyFill="1" applyBorder="1" applyAlignment="1">
      <alignment horizontal="right"/>
    </xf>
    <xf numFmtId="3" fontId="97" fillId="0" borderId="89" xfId="569" applyNumberFormat="1" applyFont="1" applyFill="1" applyBorder="1" applyAlignment="1">
      <alignment horizontal="left"/>
    </xf>
    <xf numFmtId="3" fontId="84" fillId="0" borderId="88" xfId="569" applyNumberFormat="1" applyFont="1" applyFill="1" applyBorder="1" applyAlignment="1">
      <alignment horizontal="left"/>
    </xf>
    <xf numFmtId="3" fontId="108" fillId="0" borderId="88" xfId="569" applyNumberFormat="1" applyFont="1" applyFill="1" applyBorder="1" applyAlignment="1">
      <alignment horizontal="left"/>
    </xf>
    <xf numFmtId="3" fontId="84" fillId="0" borderId="118" xfId="569" applyNumberFormat="1" applyFont="1" applyFill="1" applyBorder="1" applyAlignment="1">
      <alignment horizontal="left"/>
    </xf>
    <xf numFmtId="3" fontId="84" fillId="0" borderId="87" xfId="569" applyNumberFormat="1" applyFont="1" applyFill="1" applyBorder="1" applyAlignment="1">
      <alignment horizontal="left"/>
    </xf>
    <xf numFmtId="3" fontId="111" fillId="0" borderId="87" xfId="569" applyNumberFormat="1" applyFont="1" applyFill="1" applyBorder="1" applyAlignment="1">
      <alignment horizontal="right"/>
    </xf>
    <xf numFmtId="3" fontId="110" fillId="0" borderId="87" xfId="569" applyNumberFormat="1" applyFont="1" applyFill="1" applyBorder="1" applyAlignment="1">
      <alignment horizontal="left"/>
    </xf>
    <xf numFmtId="3" fontId="111" fillId="0" borderId="118" xfId="569" applyNumberFormat="1" applyFont="1" applyFill="1" applyBorder="1" applyAlignment="1">
      <alignment horizontal="right"/>
    </xf>
    <xf numFmtId="3" fontId="110" fillId="0" borderId="214" xfId="569" applyNumberFormat="1" applyFont="1" applyFill="1" applyBorder="1" applyAlignment="1">
      <alignment horizontal="left"/>
    </xf>
    <xf numFmtId="3" fontId="110" fillId="0" borderId="89" xfId="569" applyNumberFormat="1" applyFont="1" applyFill="1" applyBorder="1" applyAlignment="1">
      <alignment horizontal="left"/>
    </xf>
    <xf numFmtId="3" fontId="110" fillId="0" borderId="86" xfId="569" applyNumberFormat="1" applyFont="1" applyFill="1" applyBorder="1" applyAlignment="1">
      <alignment horizontal="left"/>
    </xf>
    <xf numFmtId="3" fontId="36" fillId="0" borderId="118" xfId="569" applyNumberFormat="1" applyFont="1" applyFill="1" applyBorder="1" applyAlignment="1">
      <alignment horizontal="left"/>
    </xf>
    <xf numFmtId="3" fontId="128" fillId="0" borderId="88" xfId="569" applyNumberFormat="1" applyFont="1" applyFill="1" applyBorder="1" applyAlignment="1">
      <alignment horizontal="left"/>
    </xf>
    <xf numFmtId="3" fontId="110" fillId="0" borderId="88" xfId="569" applyNumberFormat="1" applyFont="1" applyFill="1" applyBorder="1" applyAlignment="1">
      <alignment horizontal="left"/>
    </xf>
    <xf numFmtId="3" fontId="108" fillId="0" borderId="166" xfId="569" applyNumberFormat="1" applyFont="1" applyFill="1" applyBorder="1"/>
    <xf numFmtId="3" fontId="108" fillId="0" borderId="87" xfId="569" applyNumberFormat="1" applyFont="1" applyFill="1" applyBorder="1"/>
    <xf numFmtId="3" fontId="125" fillId="0" borderId="87" xfId="569" applyNumberFormat="1" applyFont="1" applyFill="1" applyBorder="1"/>
    <xf numFmtId="3" fontId="36" fillId="0" borderId="54" xfId="569" applyNumberFormat="1" applyFont="1" applyFill="1" applyBorder="1" applyAlignment="1">
      <alignment horizontal="left"/>
    </xf>
    <xf numFmtId="3" fontId="107" fillId="0" borderId="125" xfId="569" applyNumberFormat="1" applyFont="1" applyFill="1" applyBorder="1" applyAlignment="1">
      <alignment horizontal="left"/>
    </xf>
    <xf numFmtId="3" fontId="36" fillId="0" borderId="41" xfId="569" applyNumberFormat="1" applyFont="1" applyFill="1" applyBorder="1" applyAlignment="1">
      <alignment horizontal="left"/>
    </xf>
    <xf numFmtId="3" fontId="36" fillId="0" borderId="62" xfId="569" applyNumberFormat="1" applyFont="1" applyFill="1" applyBorder="1" applyAlignment="1">
      <alignment horizontal="left"/>
    </xf>
    <xf numFmtId="3" fontId="89" fillId="0" borderId="54" xfId="569" applyNumberFormat="1" applyFont="1" applyFill="1" applyBorder="1" applyAlignment="1">
      <alignment horizontal="left"/>
    </xf>
    <xf numFmtId="3" fontId="84" fillId="0" borderId="54" xfId="569" applyNumberFormat="1" applyFont="1" applyFill="1" applyBorder="1" applyAlignment="1">
      <alignment horizontal="left"/>
    </xf>
    <xf numFmtId="3" fontId="69" fillId="0" borderId="54" xfId="569" applyNumberFormat="1" applyFont="1" applyFill="1" applyBorder="1" applyAlignment="1">
      <alignment horizontal="left"/>
    </xf>
    <xf numFmtId="3" fontId="107" fillId="0" borderId="46" xfId="569" applyNumberFormat="1" applyFont="1" applyFill="1" applyBorder="1" applyAlignment="1">
      <alignment horizontal="left"/>
    </xf>
    <xf numFmtId="3" fontId="36" fillId="0" borderId="62" xfId="569" applyNumberFormat="1" applyFont="1" applyFill="1" applyBorder="1"/>
    <xf numFmtId="3" fontId="36" fillId="0" borderId="69" xfId="569" applyNumberFormat="1" applyFont="1" applyFill="1" applyBorder="1" applyAlignment="1">
      <alignment horizontal="left"/>
    </xf>
    <xf numFmtId="3" fontId="113" fillId="0" borderId="54" xfId="569" applyNumberFormat="1" applyFont="1" applyFill="1" applyBorder="1" applyAlignment="1">
      <alignment horizontal="left"/>
    </xf>
    <xf numFmtId="3" fontId="36" fillId="0" borderId="166" xfId="569" applyNumberFormat="1" applyFont="1" applyFill="1" applyBorder="1"/>
    <xf numFmtId="3" fontId="36" fillId="0" borderId="87" xfId="569" applyNumberFormat="1" applyFont="1" applyFill="1" applyBorder="1"/>
    <xf numFmtId="3" fontId="84" fillId="0" borderId="86" xfId="569" applyNumberFormat="1" applyFont="1" applyFill="1" applyBorder="1" applyAlignment="1">
      <alignment horizontal="right"/>
    </xf>
    <xf numFmtId="3" fontId="36" fillId="0" borderId="268" xfId="569" applyNumberFormat="1" applyFont="1" applyFill="1" applyBorder="1" applyAlignment="1">
      <alignment horizontal="right"/>
    </xf>
    <xf numFmtId="3" fontId="88" fillId="0" borderId="87" xfId="569" applyNumberFormat="1" applyFont="1" applyFill="1" applyBorder="1" applyAlignment="1">
      <alignment horizontal="left"/>
    </xf>
    <xf numFmtId="3" fontId="36" fillId="0" borderId="87" xfId="569" applyNumberFormat="1" applyFont="1" applyFill="1" applyBorder="1" applyAlignment="1">
      <alignment horizontal="right"/>
    </xf>
    <xf numFmtId="3" fontId="36" fillId="0" borderId="88" xfId="569" applyNumberFormat="1" applyFont="1" applyFill="1" applyBorder="1"/>
    <xf numFmtId="3" fontId="36" fillId="0" borderId="89" xfId="569" applyNumberFormat="1" applyFont="1" applyFill="1" applyBorder="1"/>
    <xf numFmtId="3" fontId="89" fillId="0" borderId="302" xfId="569" applyNumberFormat="1" applyFont="1" applyFill="1" applyBorder="1" applyAlignment="1">
      <alignment horizontal="right"/>
    </xf>
    <xf numFmtId="3" fontId="87" fillId="0" borderId="87" xfId="569" applyNumberFormat="1" applyFont="1" applyFill="1" applyBorder="1" applyAlignment="1">
      <alignment horizontal="left"/>
    </xf>
    <xf numFmtId="3" fontId="36" fillId="0" borderId="86" xfId="569" applyNumberFormat="1" applyFont="1" applyFill="1" applyBorder="1" applyAlignment="1">
      <alignment horizontal="right"/>
    </xf>
    <xf numFmtId="3" fontId="69" fillId="0" borderId="87" xfId="569" applyNumberFormat="1" applyFont="1" applyFill="1" applyBorder="1" applyAlignment="1">
      <alignment horizontal="left"/>
    </xf>
    <xf numFmtId="3" fontId="128" fillId="0" borderId="87" xfId="569" applyNumberFormat="1" applyFont="1" applyFill="1" applyBorder="1"/>
    <xf numFmtId="3" fontId="128" fillId="0" borderId="87" xfId="569" applyNumberFormat="1" applyFont="1" applyFill="1" applyBorder="1" applyAlignment="1">
      <alignment horizontal="left"/>
    </xf>
    <xf numFmtId="3" fontId="36" fillId="0" borderId="163" xfId="569" applyNumberFormat="1" applyFont="1" applyFill="1" applyBorder="1"/>
    <xf numFmtId="3" fontId="121" fillId="0" borderId="54" xfId="569" applyNumberFormat="1" applyFont="1" applyFill="1" applyBorder="1" applyAlignment="1">
      <alignment horizontal="left"/>
    </xf>
    <xf numFmtId="3" fontId="36" fillId="0" borderId="53" xfId="569" applyNumberFormat="1" applyFont="1" applyFill="1" applyBorder="1"/>
    <xf numFmtId="3" fontId="36" fillId="0" borderId="47" xfId="569" applyNumberFormat="1" applyFont="1" applyFill="1" applyBorder="1"/>
    <xf numFmtId="3" fontId="36" fillId="0" borderId="54" xfId="569" applyNumberFormat="1" applyFont="1" applyFill="1" applyBorder="1" applyAlignment="1">
      <alignment horizontal="right"/>
    </xf>
    <xf numFmtId="3" fontId="36" fillId="0" borderId="125" xfId="569" applyNumberFormat="1" applyFont="1" applyFill="1" applyBorder="1" applyAlignment="1">
      <alignment horizontal="right"/>
    </xf>
    <xf numFmtId="3" fontId="36" fillId="0" borderId="50" xfId="569" applyNumberFormat="1" applyFont="1" applyFill="1" applyBorder="1" applyAlignment="1">
      <alignment horizontal="right"/>
    </xf>
    <xf numFmtId="3" fontId="36" fillId="0" borderId="41" xfId="569" applyNumberFormat="1" applyFont="1" applyFill="1" applyBorder="1"/>
    <xf numFmtId="3" fontId="107" fillId="0" borderId="46" xfId="569" applyNumberFormat="1" applyFont="1" applyFill="1" applyBorder="1"/>
    <xf numFmtId="3" fontId="69" fillId="0" borderId="46" xfId="569" applyNumberFormat="1" applyFont="1" applyFill="1" applyBorder="1" applyAlignment="1">
      <alignment horizontal="right"/>
    </xf>
    <xf numFmtId="3" fontId="37" fillId="0" borderId="17" xfId="569" applyNumberFormat="1" applyFont="1" applyFill="1" applyBorder="1"/>
    <xf numFmtId="3" fontId="71" fillId="0" borderId="54" xfId="569" applyNumberFormat="1" applyFont="1" applyFill="1" applyBorder="1"/>
    <xf numFmtId="3" fontId="74" fillId="0" borderId="54" xfId="569" applyNumberFormat="1" applyFont="1" applyFill="1" applyBorder="1"/>
    <xf numFmtId="3" fontId="36" fillId="0" borderId="47" xfId="569" applyNumberFormat="1" applyFont="1" applyFill="1" applyBorder="1" applyAlignment="1">
      <alignment horizontal="right"/>
    </xf>
    <xf numFmtId="4" fontId="86" fillId="45" borderId="324" xfId="569" applyNumberFormat="1" applyFont="1" applyFill="1" applyBorder="1"/>
    <xf numFmtId="3" fontId="86" fillId="45" borderId="324" xfId="569" applyNumberFormat="1" applyFont="1" applyFill="1" applyBorder="1"/>
    <xf numFmtId="3" fontId="86" fillId="45" borderId="322" xfId="569" applyNumberFormat="1" applyFont="1" applyFill="1" applyBorder="1"/>
    <xf numFmtId="3" fontId="86" fillId="45" borderId="210" xfId="569" applyNumberFormat="1" applyFont="1" applyFill="1" applyBorder="1"/>
    <xf numFmtId="3" fontId="86" fillId="45" borderId="308" xfId="569" applyNumberFormat="1" applyFont="1" applyFill="1" applyBorder="1"/>
    <xf numFmtId="3" fontId="86" fillId="45" borderId="159" xfId="569" applyNumberFormat="1" applyFont="1" applyFill="1" applyBorder="1"/>
    <xf numFmtId="3" fontId="86" fillId="47" borderId="307" xfId="569" applyNumberFormat="1" applyFont="1" applyFill="1" applyBorder="1"/>
    <xf numFmtId="3" fontId="86" fillId="45" borderId="321" xfId="569" applyNumberFormat="1" applyFont="1" applyFill="1" applyBorder="1"/>
    <xf numFmtId="0" fontId="55" fillId="58" borderId="198" xfId="0" applyFont="1" applyFill="1" applyBorder="1"/>
    <xf numFmtId="3" fontId="44" fillId="0" borderId="63" xfId="409" applyNumberFormat="1" applyFont="1" applyFill="1" applyBorder="1"/>
    <xf numFmtId="3" fontId="36" fillId="0" borderId="20" xfId="569" applyNumberFormat="1" applyFont="1" applyFill="1" applyBorder="1"/>
    <xf numFmtId="3" fontId="44" fillId="0" borderId="17" xfId="409" applyNumberFormat="1" applyFont="1" applyFill="1" applyBorder="1" applyAlignment="1">
      <alignment horizontal="right" vertical="top"/>
    </xf>
    <xf numFmtId="3" fontId="44" fillId="0" borderId="0" xfId="409" applyNumberFormat="1" applyFont="1" applyFill="1" applyBorder="1" applyAlignment="1">
      <alignment horizontal="right"/>
    </xf>
    <xf numFmtId="3" fontId="80" fillId="15" borderId="337" xfId="569" applyNumberFormat="1" applyFont="1" applyFill="1" applyBorder="1" applyAlignment="1">
      <alignment horizontal="right"/>
    </xf>
    <xf numFmtId="3" fontId="35" fillId="4" borderId="259" xfId="569" applyNumberFormat="1" applyFont="1" applyFill="1" applyBorder="1" applyAlignment="1">
      <alignment horizontal="right"/>
    </xf>
    <xf numFmtId="171" fontId="44" fillId="0" borderId="0" xfId="409" applyNumberFormat="1" applyFont="1" applyFill="1" applyBorder="1" applyAlignment="1">
      <alignment horizontal="center"/>
    </xf>
    <xf numFmtId="171" fontId="44" fillId="0" borderId="0" xfId="409" applyNumberFormat="1" applyFont="1" applyFill="1" applyAlignment="1">
      <alignment horizontal="center"/>
    </xf>
    <xf numFmtId="171" fontId="50" fillId="50" borderId="210" xfId="0" applyNumberFormat="1" applyFont="1" applyFill="1" applyBorder="1"/>
    <xf numFmtId="1" fontId="55" fillId="51" borderId="159" xfId="409" applyNumberFormat="1" applyFont="1" applyFill="1" applyBorder="1" applyAlignment="1">
      <alignment horizontal="center" vertical="center"/>
    </xf>
    <xf numFmtId="1" fontId="31" fillId="7" borderId="320" xfId="569" applyNumberFormat="1" applyFont="1" applyFill="1" applyBorder="1" applyAlignment="1">
      <alignment horizontal="center" vertical="center"/>
    </xf>
    <xf numFmtId="1" fontId="31" fillId="7" borderId="321" xfId="569" applyNumberFormat="1" applyFont="1" applyFill="1" applyBorder="1" applyAlignment="1">
      <alignment horizontal="center" vertical="center"/>
    </xf>
    <xf numFmtId="3" fontId="50" fillId="45" borderId="195" xfId="409" applyNumberFormat="1" applyFont="1" applyFill="1" applyBorder="1" applyAlignment="1">
      <alignment horizontal="right"/>
    </xf>
    <xf numFmtId="171" fontId="50" fillId="60" borderId="159" xfId="409" applyNumberFormat="1" applyFont="1" applyFill="1" applyBorder="1" applyAlignment="1">
      <alignment horizontal="center" vertical="top"/>
    </xf>
    <xf numFmtId="171" fontId="44" fillId="60" borderId="89" xfId="409" applyNumberFormat="1" applyFont="1" applyFill="1" applyBorder="1" applyAlignment="1">
      <alignment horizontal="center"/>
    </xf>
    <xf numFmtId="171" fontId="50" fillId="60" borderId="89" xfId="409" applyNumberFormat="1" applyFont="1" applyFill="1" applyBorder="1" applyAlignment="1">
      <alignment horizontal="center"/>
    </xf>
    <xf numFmtId="171" fontId="44" fillId="60" borderId="162" xfId="409" applyNumberFormat="1" applyFont="1" applyFill="1" applyBorder="1" applyAlignment="1">
      <alignment horizontal="center"/>
    </xf>
    <xf numFmtId="171" fontId="50" fillId="60" borderId="159" xfId="409" applyNumberFormat="1" applyFont="1" applyFill="1" applyBorder="1" applyAlignment="1">
      <alignment horizontal="center"/>
    </xf>
    <xf numFmtId="171" fontId="44" fillId="61" borderId="214" xfId="409" applyNumberFormat="1" applyFont="1" applyFill="1" applyBorder="1" applyAlignment="1">
      <alignment horizontal="center"/>
    </xf>
    <xf numFmtId="171" fontId="44" fillId="61" borderId="89" xfId="409" applyNumberFormat="1" applyFont="1" applyFill="1" applyBorder="1" applyAlignment="1">
      <alignment horizontal="center"/>
    </xf>
    <xf numFmtId="171" fontId="44" fillId="60" borderId="108" xfId="409" applyNumberFormat="1" applyFont="1" applyFill="1" applyBorder="1" applyAlignment="1">
      <alignment horizontal="center"/>
    </xf>
    <xf numFmtId="171" fontId="44" fillId="60" borderId="214" xfId="409" applyNumberFormat="1" applyFont="1" applyFill="1" applyBorder="1" applyAlignment="1">
      <alignment horizontal="center"/>
    </xf>
    <xf numFmtId="171" fontId="44" fillId="61" borderId="162" xfId="409" applyNumberFormat="1" applyFont="1" applyFill="1" applyBorder="1" applyAlignment="1">
      <alignment horizontal="center"/>
    </xf>
    <xf numFmtId="171" fontId="50" fillId="60" borderId="307" xfId="409" applyNumberFormat="1" applyFont="1" applyFill="1" applyBorder="1" applyAlignment="1">
      <alignment horizontal="center"/>
    </xf>
    <xf numFmtId="171" fontId="50" fillId="60" borderId="210" xfId="409" applyNumberFormat="1" applyFont="1" applyFill="1" applyBorder="1" applyAlignment="1">
      <alignment horizontal="center"/>
    </xf>
    <xf numFmtId="171" fontId="44" fillId="59" borderId="166" xfId="409" applyNumberFormat="1" applyFont="1" applyFill="1" applyBorder="1" applyAlignment="1">
      <alignment horizontal="center"/>
    </xf>
    <xf numFmtId="171" fontId="44" fillId="61" borderId="86" xfId="409" applyNumberFormat="1" applyFont="1" applyFill="1" applyBorder="1" applyAlignment="1">
      <alignment horizontal="center"/>
    </xf>
    <xf numFmtId="171" fontId="44" fillId="59" borderId="87" xfId="409" applyNumberFormat="1" applyFont="1" applyFill="1" applyBorder="1" applyAlignment="1">
      <alignment horizontal="center"/>
    </xf>
    <xf numFmtId="171" fontId="44" fillId="60" borderId="87" xfId="409" applyNumberFormat="1" applyFont="1" applyFill="1" applyBorder="1" applyAlignment="1">
      <alignment horizontal="center"/>
    </xf>
    <xf numFmtId="171" fontId="44" fillId="62" borderId="87" xfId="409" applyNumberFormat="1" applyFont="1" applyFill="1" applyBorder="1" applyAlignment="1">
      <alignment horizontal="center"/>
    </xf>
    <xf numFmtId="171" fontId="44" fillId="62" borderId="86" xfId="409" applyNumberFormat="1" applyFont="1" applyFill="1" applyBorder="1" applyAlignment="1">
      <alignment horizontal="center"/>
    </xf>
    <xf numFmtId="171" fontId="44" fillId="61" borderId="89" xfId="409" applyNumberFormat="1" applyFont="1" applyFill="1" applyBorder="1" applyAlignment="1">
      <alignment horizontal="center" vertical="center"/>
    </xf>
    <xf numFmtId="171" fontId="44" fillId="59" borderId="89" xfId="409" applyNumberFormat="1" applyFont="1" applyFill="1" applyBorder="1" applyAlignment="1">
      <alignment horizontal="center"/>
    </xf>
    <xf numFmtId="171" fontId="44" fillId="61" borderId="108" xfId="409" applyNumberFormat="1" applyFont="1" applyFill="1" applyBorder="1" applyAlignment="1">
      <alignment horizontal="center"/>
    </xf>
    <xf numFmtId="171" fontId="50" fillId="59" borderId="86" xfId="409" applyNumberFormat="1" applyFont="1" applyFill="1" applyBorder="1" applyAlignment="1">
      <alignment horizontal="center"/>
    </xf>
    <xf numFmtId="171" fontId="50" fillId="59" borderId="118" xfId="409" applyNumberFormat="1" applyFont="1" applyFill="1" applyBorder="1" applyAlignment="1">
      <alignment horizontal="center"/>
    </xf>
    <xf numFmtId="171" fontId="50" fillId="59" borderId="89" xfId="409" applyNumberFormat="1" applyFont="1" applyFill="1" applyBorder="1" applyAlignment="1">
      <alignment horizontal="center"/>
    </xf>
    <xf numFmtId="171" fontId="50" fillId="59" borderId="108" xfId="409" applyNumberFormat="1" applyFont="1" applyFill="1" applyBorder="1" applyAlignment="1">
      <alignment horizontal="center"/>
    </xf>
    <xf numFmtId="3" fontId="37" fillId="0" borderId="54" xfId="569" applyNumberFormat="1" applyFont="1" applyFill="1" applyBorder="1"/>
    <xf numFmtId="3" fontId="74" fillId="0" borderId="54" xfId="569" applyNumberFormat="1" applyFont="1" applyFill="1" applyBorder="1" applyAlignment="1">
      <alignment horizontal="right"/>
    </xf>
    <xf numFmtId="3" fontId="6" fillId="0" borderId="54" xfId="569" applyNumberFormat="1" applyFont="1" applyFill="1" applyBorder="1"/>
    <xf numFmtId="3" fontId="84" fillId="0" borderId="54" xfId="569" applyNumberFormat="1" applyFont="1" applyFill="1" applyBorder="1" applyAlignment="1">
      <alignment horizontal="right"/>
    </xf>
    <xf numFmtId="3" fontId="36" fillId="0" borderId="303" xfId="569" applyNumberFormat="1" applyFont="1" applyFill="1" applyBorder="1"/>
    <xf numFmtId="3" fontId="36" fillId="0" borderId="278" xfId="569" applyNumberFormat="1" applyFont="1" applyFill="1" applyBorder="1"/>
    <xf numFmtId="3" fontId="36" fillId="0" borderId="304" xfId="569" applyNumberFormat="1" applyFont="1" applyFill="1" applyBorder="1"/>
    <xf numFmtId="3" fontId="36" fillId="0" borderId="144" xfId="569" applyNumberFormat="1" applyFont="1" applyFill="1" applyBorder="1"/>
    <xf numFmtId="3" fontId="36" fillId="0" borderId="45" xfId="569" applyNumberFormat="1" applyFont="1" applyFill="1" applyBorder="1"/>
    <xf numFmtId="3" fontId="36" fillId="0" borderId="274" xfId="569" applyNumberFormat="1" applyFont="1" applyFill="1" applyBorder="1"/>
    <xf numFmtId="3" fontId="36" fillId="0" borderId="47" xfId="569" applyNumberFormat="1" applyFont="1" applyFill="1" applyBorder="1" applyAlignment="1">
      <alignment horizontal="left"/>
    </xf>
    <xf numFmtId="3" fontId="108" fillId="0" borderId="87" xfId="569" applyNumberFormat="1" applyFont="1" applyFill="1" applyBorder="1" applyAlignment="1">
      <alignment horizontal="left"/>
    </xf>
    <xf numFmtId="3" fontId="115" fillId="0" borderId="214" xfId="571" applyNumberFormat="1" applyFont="1" applyFill="1" applyBorder="1" applyAlignment="1">
      <alignment horizontal="right"/>
    </xf>
    <xf numFmtId="3" fontId="115" fillId="0" borderId="89" xfId="571" applyNumberFormat="1" applyFont="1" applyFill="1" applyBorder="1" applyAlignment="1">
      <alignment horizontal="right"/>
    </xf>
    <xf numFmtId="3" fontId="116" fillId="0" borderId="166" xfId="569" applyNumberFormat="1" applyFont="1" applyFill="1" applyBorder="1"/>
    <xf numFmtId="3" fontId="115" fillId="0" borderId="88" xfId="569" applyNumberFormat="1" applyFont="1" applyFill="1" applyBorder="1" applyAlignment="1">
      <alignment horizontal="left"/>
    </xf>
    <xf numFmtId="3" fontId="36" fillId="0" borderId="163" xfId="569" applyNumberFormat="1" applyFont="1" applyFill="1" applyBorder="1" applyAlignment="1">
      <alignment horizontal="left"/>
    </xf>
    <xf numFmtId="3" fontId="112" fillId="0" borderId="214" xfId="566" applyNumberFormat="1" applyFont="1" applyFill="1" applyBorder="1"/>
    <xf numFmtId="3" fontId="108" fillId="0" borderId="166" xfId="569" applyNumberFormat="1" applyFont="1" applyFill="1" applyBorder="1" applyAlignment="1">
      <alignment horizontal="right"/>
    </xf>
    <xf numFmtId="3" fontId="108" fillId="0" borderId="147" xfId="569" applyNumberFormat="1" applyFont="1" applyFill="1" applyBorder="1" applyAlignment="1">
      <alignment horizontal="left"/>
    </xf>
    <xf numFmtId="3" fontId="103" fillId="0" borderId="87" xfId="569" applyNumberFormat="1" applyFont="1" applyFill="1" applyBorder="1" applyAlignment="1">
      <alignment horizontal="right"/>
    </xf>
    <xf numFmtId="3" fontId="103" fillId="0" borderId="88" xfId="569" applyNumberFormat="1" applyFont="1" applyFill="1" applyBorder="1" applyAlignment="1">
      <alignment horizontal="right"/>
    </xf>
    <xf numFmtId="3" fontId="36" fillId="0" borderId="89" xfId="569" applyNumberFormat="1" applyFont="1" applyFill="1" applyBorder="1" applyAlignment="1">
      <alignment horizontal="right"/>
    </xf>
    <xf numFmtId="3" fontId="67" fillId="0" borderId="89" xfId="569" applyNumberFormat="1" applyFont="1" applyFill="1" applyBorder="1" applyAlignment="1">
      <alignment horizontal="left"/>
    </xf>
    <xf numFmtId="3" fontId="105" fillId="0" borderId="89" xfId="569" applyNumberFormat="1" applyFont="1" applyFill="1" applyBorder="1"/>
    <xf numFmtId="3" fontId="119" fillId="0" borderId="89" xfId="569" applyNumberFormat="1" applyFont="1" applyFill="1" applyBorder="1" applyAlignment="1">
      <alignment horizontal="right"/>
    </xf>
    <xf numFmtId="3" fontId="6" fillId="0" borderId="89" xfId="569" applyNumberFormat="1" applyFont="1" applyFill="1" applyBorder="1"/>
    <xf numFmtId="3" fontId="89" fillId="0" borderId="89" xfId="569" applyNumberFormat="1" applyFont="1" applyFill="1" applyBorder="1"/>
    <xf numFmtId="3" fontId="107" fillId="0" borderId="89" xfId="569" applyNumberFormat="1" applyFont="1" applyFill="1" applyBorder="1" applyAlignment="1">
      <alignment horizontal="left"/>
    </xf>
    <xf numFmtId="3" fontId="36" fillId="0" borderId="89" xfId="569" applyNumberFormat="1" applyFont="1" applyFill="1" applyBorder="1" applyAlignment="1">
      <alignment horizontal="left"/>
    </xf>
    <xf numFmtId="3" fontId="90" fillId="0" borderId="89" xfId="569" applyNumberFormat="1" applyFont="1" applyFill="1" applyBorder="1"/>
    <xf numFmtId="3" fontId="84" fillId="0" borderId="89" xfId="569" applyNumberFormat="1" applyFont="1" applyFill="1" applyBorder="1" applyAlignment="1">
      <alignment horizontal="center" vertical="center"/>
    </xf>
    <xf numFmtId="3" fontId="84" fillId="0" borderId="89" xfId="569" applyNumberFormat="1" applyFont="1" applyFill="1" applyBorder="1" applyAlignment="1">
      <alignment horizontal="right" vertical="center"/>
    </xf>
    <xf numFmtId="3" fontId="84" fillId="0" borderId="89" xfId="569" applyNumberFormat="1" applyFont="1" applyFill="1" applyBorder="1"/>
    <xf numFmtId="3" fontId="124" fillId="0" borderId="89" xfId="569" applyNumberFormat="1" applyFont="1" applyFill="1" applyBorder="1" applyAlignment="1">
      <alignment horizontal="left"/>
    </xf>
    <xf numFmtId="3" fontId="36" fillId="0" borderId="162" xfId="569" applyNumberFormat="1" applyFont="1" applyFill="1" applyBorder="1"/>
    <xf numFmtId="3" fontId="36" fillId="0" borderId="44" xfId="569" applyNumberFormat="1" applyFont="1" applyFill="1" applyBorder="1" applyAlignment="1">
      <alignment horizontal="right"/>
    </xf>
    <xf numFmtId="3" fontId="36" fillId="0" borderId="46" xfId="569" applyNumberFormat="1" applyFont="1" applyFill="1" applyBorder="1" applyAlignment="1">
      <alignment horizontal="right"/>
    </xf>
    <xf numFmtId="3" fontId="36" fillId="0" borderId="43" xfId="569" applyNumberFormat="1" applyFont="1" applyFill="1" applyBorder="1" applyAlignment="1">
      <alignment horizontal="right"/>
    </xf>
    <xf numFmtId="1" fontId="43" fillId="4" borderId="43" xfId="569" applyNumberFormat="1" applyFont="1" applyFill="1" applyBorder="1" applyAlignment="1">
      <alignment horizontal="center" vertical="center" wrapText="1"/>
    </xf>
    <xf numFmtId="171" fontId="44" fillId="0" borderId="0" xfId="409" applyNumberFormat="1" applyFont="1" applyFill="1" applyBorder="1" applyAlignment="1">
      <alignment horizontal="left"/>
    </xf>
    <xf numFmtId="171" fontId="44" fillId="0" borderId="201" xfId="409" applyNumberFormat="1" applyFont="1" applyFill="1" applyBorder="1" applyAlignment="1">
      <alignment horizontal="right"/>
    </xf>
    <xf numFmtId="3" fontId="36" fillId="0" borderId="63" xfId="569" applyNumberFormat="1" applyFont="1" applyFill="1" applyBorder="1"/>
    <xf numFmtId="3" fontId="36" fillId="0" borderId="16" xfId="569" applyNumberFormat="1" applyFont="1" applyFill="1" applyBorder="1"/>
    <xf numFmtId="3" fontId="128" fillId="0" borderId="16" xfId="569" applyNumberFormat="1" applyFont="1" applyFill="1" applyBorder="1"/>
    <xf numFmtId="3" fontId="84" fillId="0" borderId="97" xfId="569" applyNumberFormat="1" applyFont="1" applyFill="1" applyBorder="1" applyAlignment="1">
      <alignment horizontal="right" vertical="center"/>
    </xf>
    <xf numFmtId="3" fontId="36" fillId="0" borderId="16" xfId="569" applyNumberFormat="1" applyFont="1" applyFill="1" applyBorder="1" applyAlignment="1">
      <alignment horizontal="right"/>
    </xf>
    <xf numFmtId="3" fontId="36" fillId="0" borderId="195" xfId="569" applyNumberFormat="1" applyFont="1" applyFill="1" applyBorder="1"/>
    <xf numFmtId="3" fontId="36" fillId="0" borderId="95" xfId="569" applyNumberFormat="1" applyFont="1" applyFill="1" applyBorder="1"/>
    <xf numFmtId="3" fontId="36" fillId="0" borderId="96" xfId="569" applyNumberFormat="1" applyFont="1" applyFill="1" applyBorder="1" applyAlignment="1">
      <alignment horizontal="right"/>
    </xf>
    <xf numFmtId="3" fontId="36" fillId="0" borderId="95" xfId="569" applyNumberFormat="1" applyFont="1" applyFill="1" applyBorder="1" applyAlignment="1">
      <alignment horizontal="left"/>
    </xf>
    <xf numFmtId="3" fontId="36" fillId="0" borderId="96" xfId="569" applyNumberFormat="1" applyFont="1" applyFill="1" applyBorder="1" applyAlignment="1">
      <alignment horizontal="left"/>
    </xf>
    <xf numFmtId="3" fontId="108" fillId="0" borderId="195" xfId="569" applyNumberFormat="1" applyFont="1" applyFill="1" applyBorder="1" applyAlignment="1">
      <alignment horizontal="right"/>
    </xf>
    <xf numFmtId="3" fontId="113" fillId="0" borderId="16" xfId="569" applyNumberFormat="1" applyFont="1" applyFill="1" applyBorder="1" applyAlignment="1">
      <alignment horizontal="left"/>
    </xf>
    <xf numFmtId="3" fontId="36" fillId="0" borderId="96" xfId="569" applyNumberFormat="1" applyFont="1" applyFill="1" applyBorder="1"/>
    <xf numFmtId="171" fontId="44" fillId="0" borderId="0" xfId="409" applyNumberFormat="1" applyFont="1" applyFill="1" applyBorder="1" applyAlignment="1"/>
    <xf numFmtId="171" fontId="44" fillId="0" borderId="201" xfId="409" applyNumberFormat="1" applyFont="1" applyFill="1" applyBorder="1"/>
    <xf numFmtId="3" fontId="84" fillId="0" borderId="98" xfId="569" applyNumberFormat="1" applyFont="1" applyFill="1" applyBorder="1" applyAlignment="1">
      <alignment horizontal="right"/>
    </xf>
    <xf numFmtId="3" fontId="36" fillId="0" borderId="95" xfId="569" applyNumberFormat="1" applyFont="1" applyFill="1" applyBorder="1" applyAlignment="1">
      <alignment horizontal="right"/>
    </xf>
    <xf numFmtId="3" fontId="69" fillId="0" borderId="95" xfId="569" applyNumberFormat="1" applyFont="1" applyFill="1" applyBorder="1" applyAlignment="1">
      <alignment horizontal="left"/>
    </xf>
    <xf numFmtId="3" fontId="87" fillId="0" borderId="95" xfId="569" applyNumberFormat="1" applyFont="1" applyFill="1" applyBorder="1" applyAlignment="1">
      <alignment horizontal="left"/>
    </xf>
    <xf numFmtId="3" fontId="36" fillId="0" borderId="98" xfId="569" applyNumberFormat="1" applyFont="1" applyFill="1" applyBorder="1" applyAlignment="1">
      <alignment horizontal="right"/>
    </xf>
    <xf numFmtId="3" fontId="36" fillId="0" borderId="24" xfId="569" applyNumberFormat="1" applyFont="1" applyFill="1" applyBorder="1"/>
    <xf numFmtId="3" fontId="36" fillId="0" borderId="124" xfId="569" applyNumberFormat="1" applyFont="1" applyFill="1" applyBorder="1"/>
    <xf numFmtId="3" fontId="69" fillId="0" borderId="16" xfId="569" applyNumberFormat="1" applyFont="1" applyFill="1" applyBorder="1" applyAlignment="1">
      <alignment horizontal="right"/>
    </xf>
    <xf numFmtId="3" fontId="0" fillId="0" borderId="24" xfId="0" applyNumberFormat="1" applyFill="1" applyBorder="1"/>
    <xf numFmtId="171" fontId="44" fillId="0" borderId="0" xfId="409" applyNumberFormat="1" applyFont="1" applyFill="1" applyBorder="1"/>
    <xf numFmtId="3" fontId="37" fillId="45" borderId="54" xfId="569" applyNumberFormat="1" applyFont="1" applyFill="1" applyBorder="1" applyAlignment="1">
      <alignment horizontal="right"/>
    </xf>
    <xf numFmtId="3" fontId="37" fillId="45" borderId="16" xfId="569" applyNumberFormat="1" applyFont="1" applyFill="1" applyBorder="1" applyAlignment="1">
      <alignment horizontal="right"/>
    </xf>
    <xf numFmtId="171" fontId="44" fillId="45" borderId="137" xfId="409" applyNumberFormat="1" applyFont="1" applyFill="1" applyBorder="1" applyAlignment="1">
      <alignment horizontal="left"/>
    </xf>
    <xf numFmtId="171" fontId="132" fillId="45" borderId="137" xfId="409" applyNumberFormat="1" applyFont="1" applyFill="1" applyBorder="1" applyAlignment="1">
      <alignment horizontal="left"/>
    </xf>
    <xf numFmtId="3" fontId="36" fillId="45" borderId="24" xfId="569" applyNumberFormat="1" applyFont="1" applyFill="1" applyBorder="1"/>
    <xf numFmtId="3" fontId="107" fillId="45" borderId="20" xfId="569" applyNumberFormat="1" applyFont="1" applyFill="1" applyBorder="1"/>
    <xf numFmtId="3" fontId="69" fillId="45" borderId="20" xfId="569" applyNumberFormat="1" applyFont="1" applyFill="1" applyBorder="1" applyAlignment="1">
      <alignment horizontal="right"/>
    </xf>
    <xf numFmtId="3" fontId="69" fillId="45" borderId="16" xfId="569" applyNumberFormat="1" applyFont="1" applyFill="1" applyBorder="1" applyAlignment="1">
      <alignment horizontal="left"/>
    </xf>
    <xf numFmtId="3" fontId="36" fillId="45" borderId="16" xfId="569" applyNumberFormat="1" applyFont="1" applyFill="1" applyBorder="1"/>
    <xf numFmtId="3" fontId="37" fillId="45" borderId="16" xfId="569" applyNumberFormat="1" applyFont="1" applyFill="1" applyBorder="1"/>
    <xf numFmtId="3" fontId="71" fillId="45" borderId="16" xfId="569" applyNumberFormat="1" applyFont="1" applyFill="1" applyBorder="1"/>
    <xf numFmtId="3" fontId="74" fillId="45" borderId="16" xfId="569" applyNumberFormat="1" applyFont="1" applyFill="1" applyBorder="1" applyAlignment="1">
      <alignment horizontal="right"/>
    </xf>
    <xf numFmtId="3" fontId="36" fillId="45" borderId="16" xfId="569" applyNumberFormat="1" applyFont="1" applyFill="1" applyBorder="1" applyAlignment="1">
      <alignment horizontal="left"/>
    </xf>
    <xf numFmtId="3" fontId="36" fillId="45" borderId="16" xfId="569" applyNumberFormat="1" applyFont="1" applyFill="1" applyBorder="1" applyAlignment="1">
      <alignment horizontal="right"/>
    </xf>
    <xf numFmtId="3" fontId="74" fillId="45" borderId="16" xfId="569" applyNumberFormat="1" applyFont="1" applyFill="1" applyBorder="1"/>
    <xf numFmtId="3" fontId="6" fillId="45" borderId="16" xfId="569" applyNumberFormat="1" applyFont="1" applyFill="1" applyBorder="1"/>
    <xf numFmtId="3" fontId="84" fillId="45" borderId="16" xfId="569" applyNumberFormat="1" applyFont="1" applyFill="1" applyBorder="1" applyAlignment="1">
      <alignment horizontal="right"/>
    </xf>
    <xf numFmtId="3" fontId="36" fillId="45" borderId="20" xfId="569" applyNumberFormat="1" applyFont="1" applyFill="1" applyBorder="1"/>
    <xf numFmtId="3" fontId="36" fillId="45" borderId="63" xfId="569" applyNumberFormat="1" applyFont="1" applyFill="1" applyBorder="1"/>
    <xf numFmtId="3" fontId="36" fillId="45" borderId="124" xfId="569" applyNumberFormat="1" applyFont="1" applyFill="1" applyBorder="1" applyAlignment="1">
      <alignment horizontal="right"/>
    </xf>
    <xf numFmtId="3" fontId="31" fillId="45" borderId="334" xfId="569" applyNumberFormat="1" applyFont="1" applyFill="1" applyBorder="1" applyAlignment="1">
      <alignment horizontal="center" vertical="center"/>
    </xf>
    <xf numFmtId="3" fontId="36" fillId="45" borderId="0" xfId="569" applyNumberFormat="1" applyFont="1" applyFill="1" applyBorder="1" applyAlignment="1">
      <alignment horizontal="right"/>
    </xf>
    <xf numFmtId="3" fontId="121" fillId="45" borderId="16" xfId="569" applyNumberFormat="1" applyFont="1" applyFill="1" applyBorder="1" applyAlignment="1">
      <alignment horizontal="left"/>
    </xf>
    <xf numFmtId="3" fontId="36" fillId="45" borderId="17" xfId="569" applyNumberFormat="1" applyFont="1" applyFill="1" applyBorder="1"/>
    <xf numFmtId="3" fontId="36" fillId="45" borderId="21" xfId="569" applyNumberFormat="1" applyFont="1" applyFill="1" applyBorder="1"/>
    <xf numFmtId="3" fontId="37" fillId="15" borderId="210" xfId="569" applyNumberFormat="1" applyFont="1" applyFill="1" applyBorder="1" applyAlignment="1">
      <alignment horizontal="center"/>
    </xf>
    <xf numFmtId="3" fontId="37" fillId="15" borderId="308" xfId="569" applyNumberFormat="1" applyFont="1" applyFill="1" applyBorder="1" applyAlignment="1">
      <alignment horizontal="center"/>
    </xf>
    <xf numFmtId="3" fontId="37" fillId="15" borderId="159" xfId="569" applyNumberFormat="1" applyFont="1" applyFill="1" applyBorder="1" applyAlignment="1">
      <alignment horizontal="center"/>
    </xf>
    <xf numFmtId="3" fontId="37" fillId="15" borderId="307" xfId="569" applyNumberFormat="1" applyFont="1" applyFill="1" applyBorder="1" applyAlignment="1">
      <alignment horizontal="center"/>
    </xf>
    <xf numFmtId="171" fontId="50" fillId="45" borderId="159" xfId="409" applyNumberFormat="1" applyFont="1" applyFill="1" applyBorder="1" applyAlignment="1">
      <alignment horizontal="center"/>
    </xf>
    <xf numFmtId="3" fontId="37" fillId="15" borderId="320" xfId="569" applyNumberFormat="1" applyFont="1" applyFill="1" applyBorder="1" applyAlignment="1">
      <alignment horizontal="center"/>
    </xf>
    <xf numFmtId="3" fontId="37" fillId="15" borderId="321" xfId="569" applyNumberFormat="1" applyFont="1" applyFill="1" applyBorder="1" applyAlignment="1">
      <alignment horizontal="center"/>
    </xf>
    <xf numFmtId="3" fontId="36" fillId="45" borderId="195" xfId="569" applyNumberFormat="1" applyFont="1" applyFill="1" applyBorder="1"/>
    <xf numFmtId="3" fontId="36" fillId="45" borderId="96" xfId="569" applyNumberFormat="1" applyFont="1" applyFill="1" applyBorder="1"/>
    <xf numFmtId="3" fontId="36" fillId="45" borderId="38" xfId="569" applyNumberFormat="1" applyFont="1" applyFill="1" applyBorder="1" applyAlignment="1">
      <alignment horizontal="left"/>
    </xf>
    <xf numFmtId="3" fontId="107" fillId="45" borderId="124" xfId="569" applyNumberFormat="1" applyFont="1" applyFill="1" applyBorder="1" applyAlignment="1">
      <alignment horizontal="left"/>
    </xf>
    <xf numFmtId="3" fontId="36" fillId="45" borderId="24" xfId="569" applyNumberFormat="1" applyFont="1" applyFill="1" applyBorder="1" applyAlignment="1">
      <alignment horizontal="left"/>
    </xf>
    <xf numFmtId="3" fontId="36" fillId="45" borderId="37" xfId="569" applyNumberFormat="1" applyFont="1" applyFill="1" applyBorder="1" applyAlignment="1">
      <alignment horizontal="left"/>
    </xf>
    <xf numFmtId="3" fontId="36" fillId="45" borderId="64" xfId="569" applyNumberFormat="1" applyFont="1" applyFill="1" applyBorder="1"/>
    <xf numFmtId="3" fontId="36" fillId="45" borderId="21" xfId="569" applyNumberFormat="1" applyFont="1" applyFill="1" applyBorder="1" applyAlignment="1">
      <alignment horizontal="left"/>
    </xf>
    <xf numFmtId="3" fontId="108" fillId="45" borderId="195" xfId="569" applyNumberFormat="1" applyFont="1" applyFill="1" applyBorder="1"/>
    <xf numFmtId="3" fontId="108" fillId="45" borderId="95" xfId="569" applyNumberFormat="1" applyFont="1" applyFill="1" applyBorder="1"/>
    <xf numFmtId="3" fontId="125" fillId="45" borderId="95" xfId="569" applyNumberFormat="1" applyFont="1" applyFill="1" applyBorder="1"/>
    <xf numFmtId="3" fontId="108" fillId="45" borderId="95" xfId="569" applyNumberFormat="1" applyFont="1" applyFill="1" applyBorder="1" applyAlignment="1">
      <alignment horizontal="left"/>
    </xf>
    <xf numFmtId="3" fontId="36" fillId="45" borderId="95" xfId="569" applyNumberFormat="1" applyFont="1" applyFill="1" applyBorder="1" applyAlignment="1">
      <alignment horizontal="left"/>
    </xf>
    <xf numFmtId="3" fontId="116" fillId="45" borderId="195" xfId="569" applyNumberFormat="1" applyFont="1" applyFill="1" applyBorder="1"/>
    <xf numFmtId="3" fontId="115" fillId="45" borderId="96" xfId="569" applyNumberFormat="1" applyFont="1" applyFill="1" applyBorder="1" applyAlignment="1">
      <alignment horizontal="left"/>
    </xf>
    <xf numFmtId="3" fontId="36" fillId="45" borderId="96" xfId="569" applyNumberFormat="1" applyFont="1" applyFill="1" applyBorder="1" applyAlignment="1">
      <alignment horizontal="left"/>
    </xf>
    <xf numFmtId="3" fontId="36" fillId="45" borderId="100" xfId="569" applyNumberFormat="1" applyFont="1" applyFill="1" applyBorder="1" applyAlignment="1">
      <alignment horizontal="left"/>
    </xf>
    <xf numFmtId="3" fontId="112" fillId="45" borderId="266" xfId="566" applyNumberFormat="1" applyFont="1" applyFill="1" applyBorder="1"/>
    <xf numFmtId="3" fontId="108" fillId="45" borderId="95" xfId="569" applyNumberFormat="1" applyFont="1" applyFill="1" applyBorder="1" applyAlignment="1">
      <alignment horizontal="center"/>
    </xf>
    <xf numFmtId="3" fontId="108" fillId="45" borderId="21" xfId="569" applyNumberFormat="1" applyFont="1" applyFill="1" applyBorder="1" applyAlignment="1">
      <alignment horizontal="left"/>
    </xf>
    <xf numFmtId="3" fontId="36" fillId="45" borderId="195" xfId="569" applyNumberFormat="1" applyFont="1" applyFill="1" applyBorder="1" applyAlignment="1">
      <alignment horizontal="right"/>
    </xf>
    <xf numFmtId="3" fontId="69" fillId="45" borderId="95" xfId="569" applyNumberFormat="1" applyFont="1" applyFill="1" applyBorder="1" applyAlignment="1">
      <alignment horizontal="right"/>
    </xf>
    <xf numFmtId="3" fontId="36" fillId="45" borderId="96" xfId="569" applyNumberFormat="1" applyFont="1" applyFill="1" applyBorder="1" applyAlignment="1">
      <alignment horizontal="right"/>
    </xf>
    <xf numFmtId="3" fontId="36" fillId="45" borderId="97" xfId="569" applyNumberFormat="1" applyFont="1" applyFill="1" applyBorder="1"/>
    <xf numFmtId="3" fontId="105" fillId="45" borderId="97" xfId="569" applyNumberFormat="1" applyFont="1" applyFill="1" applyBorder="1"/>
    <xf numFmtId="3" fontId="119" fillId="45" borderId="97" xfId="569" applyNumberFormat="1" applyFont="1" applyFill="1" applyBorder="1" applyAlignment="1">
      <alignment horizontal="right"/>
    </xf>
    <xf numFmtId="3" fontId="36" fillId="45" borderId="97" xfId="569" applyNumberFormat="1" applyFont="1" applyFill="1" applyBorder="1" applyAlignment="1">
      <alignment horizontal="right"/>
    </xf>
    <xf numFmtId="3" fontId="6" fillId="45" borderId="97" xfId="569" applyNumberFormat="1" applyFont="1" applyFill="1" applyBorder="1"/>
    <xf numFmtId="3" fontId="89" fillId="45" borderId="97" xfId="569" applyNumberFormat="1" applyFont="1" applyFill="1" applyBorder="1"/>
    <xf numFmtId="3" fontId="90" fillId="45" borderId="97" xfId="569" applyNumberFormat="1" applyFont="1" applyFill="1" applyBorder="1"/>
    <xf numFmtId="3" fontId="84" fillId="45" borderId="97" xfId="569" applyNumberFormat="1" applyFont="1" applyFill="1" applyBorder="1" applyAlignment="1">
      <alignment horizontal="center" vertical="center"/>
    </xf>
    <xf numFmtId="3" fontId="84" fillId="45" borderId="97" xfId="569" applyNumberFormat="1" applyFont="1" applyFill="1" applyBorder="1" applyAlignment="1">
      <alignment horizontal="right" vertical="center"/>
    </xf>
    <xf numFmtId="3" fontId="84" fillId="45" borderId="97" xfId="569" applyNumberFormat="1" applyFont="1" applyFill="1" applyBorder="1"/>
    <xf numFmtId="3" fontId="124" fillId="45" borderId="97" xfId="569" applyNumberFormat="1" applyFont="1" applyFill="1" applyBorder="1" applyAlignment="1">
      <alignment horizontal="left"/>
    </xf>
    <xf numFmtId="3" fontId="36" fillId="45" borderId="197" xfId="569" applyNumberFormat="1" applyFont="1" applyFill="1" applyBorder="1"/>
    <xf numFmtId="171" fontId="133" fillId="45" borderId="137" xfId="409" applyNumberFormat="1" applyFont="1" applyFill="1" applyBorder="1"/>
    <xf numFmtId="3" fontId="36" fillId="47" borderId="16" xfId="569" applyNumberFormat="1" applyFont="1" applyFill="1" applyBorder="1" applyAlignment="1">
      <alignment horizontal="right"/>
    </xf>
    <xf numFmtId="3" fontId="36" fillId="47" borderId="63" xfId="569" applyNumberFormat="1" applyFont="1" applyFill="1" applyBorder="1" applyAlignment="1">
      <alignment horizontal="right"/>
    </xf>
    <xf numFmtId="3" fontId="36" fillId="47" borderId="20" xfId="569" applyNumberFormat="1" applyFont="1" applyFill="1" applyBorder="1" applyAlignment="1">
      <alignment horizontal="right"/>
    </xf>
    <xf numFmtId="3" fontId="36" fillId="47" borderId="13" xfId="569" applyNumberFormat="1" applyFont="1" applyFill="1" applyBorder="1" applyAlignment="1">
      <alignment horizontal="right"/>
    </xf>
    <xf numFmtId="1" fontId="55" fillId="50" borderId="159" xfId="409" applyNumberFormat="1" applyFont="1" applyFill="1" applyBorder="1" applyAlignment="1">
      <alignment horizontal="center" vertical="center"/>
    </xf>
    <xf numFmtId="1" fontId="55" fillId="51" borderId="210" xfId="409" applyNumberFormat="1" applyFont="1" applyFill="1" applyBorder="1" applyAlignment="1">
      <alignment horizontal="center" vertical="center" wrapText="1"/>
    </xf>
    <xf numFmtId="171" fontId="50" fillId="50" borderId="159" xfId="409" applyNumberFormat="1" applyFont="1" applyFill="1" applyBorder="1"/>
    <xf numFmtId="171" fontId="44" fillId="0" borderId="255" xfId="409" applyNumberFormat="1" applyFont="1" applyFill="1" applyBorder="1"/>
    <xf numFmtId="171" fontId="44" fillId="0" borderId="137" xfId="409" applyNumberFormat="1" applyFont="1" applyFill="1" applyBorder="1"/>
    <xf numFmtId="171" fontId="44" fillId="45" borderId="137" xfId="409" applyNumberFormat="1" applyFont="1" applyFill="1" applyBorder="1" applyAlignment="1">
      <alignment horizontal="center" wrapText="1"/>
    </xf>
    <xf numFmtId="171" fontId="44" fillId="0" borderId="34" xfId="409" applyNumberFormat="1" applyFont="1" applyBorder="1" applyAlignment="1">
      <alignment horizontal="center" wrapText="1"/>
    </xf>
    <xf numFmtId="171" fontId="44" fillId="0" borderId="57" xfId="409" applyNumberFormat="1" applyFont="1" applyBorder="1" applyAlignment="1">
      <alignment horizontal="center" wrapText="1"/>
    </xf>
    <xf numFmtId="3" fontId="36" fillId="0" borderId="227" xfId="569" applyNumberFormat="1" applyFont="1" applyBorder="1" applyAlignment="1">
      <alignment horizontal="right" wrapText="1"/>
    </xf>
    <xf numFmtId="3" fontId="36" fillId="0" borderId="228" xfId="569" applyNumberFormat="1" applyFont="1" applyBorder="1" applyAlignment="1">
      <alignment horizontal="right" wrapText="1"/>
    </xf>
    <xf numFmtId="3" fontId="36" fillId="0" borderId="227" xfId="569" applyNumberFormat="1" applyFont="1" applyBorder="1" applyAlignment="1">
      <alignment horizontal="center"/>
    </xf>
    <xf numFmtId="171" fontId="44" fillId="45" borderId="137" xfId="409" applyNumberFormat="1" applyFont="1" applyFill="1" applyBorder="1" applyAlignment="1">
      <alignment horizontal="right" wrapText="1"/>
    </xf>
    <xf numFmtId="171" fontId="44" fillId="0" borderId="34" xfId="409" applyNumberFormat="1" applyFont="1" applyBorder="1" applyAlignment="1">
      <alignment horizontal="right" wrapText="1"/>
    </xf>
    <xf numFmtId="3" fontId="36" fillId="0" borderId="191" xfId="569" applyNumberFormat="1" applyFont="1" applyBorder="1" applyAlignment="1">
      <alignment horizontal="right" wrapText="1"/>
    </xf>
    <xf numFmtId="3" fontId="89" fillId="0" borderId="191" xfId="569" applyNumberFormat="1" applyFont="1" applyBorder="1" applyAlignment="1">
      <alignment horizontal="right" wrapText="1"/>
    </xf>
    <xf numFmtId="3" fontId="36" fillId="0" borderId="190" xfId="569" applyNumberFormat="1" applyFont="1" applyBorder="1" applyAlignment="1">
      <alignment horizontal="center"/>
    </xf>
    <xf numFmtId="3" fontId="36" fillId="0" borderId="191" xfId="569" applyNumberFormat="1" applyFont="1" applyBorder="1" applyAlignment="1">
      <alignment horizontal="center"/>
    </xf>
    <xf numFmtId="171" fontId="44" fillId="0" borderId="14" xfId="409" applyNumberFormat="1" applyFont="1" applyFill="1" applyBorder="1" applyAlignment="1">
      <alignment horizontal="right" vertical="center" wrapText="1"/>
    </xf>
    <xf numFmtId="171" fontId="44" fillId="0" borderId="57" xfId="409" applyNumberFormat="1" applyFont="1" applyBorder="1" applyAlignment="1">
      <alignment horizontal="right" wrapText="1"/>
    </xf>
    <xf numFmtId="171" fontId="44" fillId="0" borderId="33" xfId="409" applyNumberFormat="1" applyFont="1" applyBorder="1" applyAlignment="1">
      <alignment horizontal="right" wrapText="1"/>
    </xf>
    <xf numFmtId="3" fontId="43" fillId="0" borderId="15" xfId="569" applyNumberFormat="1" applyFont="1" applyFill="1" applyBorder="1" applyAlignment="1">
      <alignment horizontal="right" vertical="center" wrapText="1"/>
    </xf>
    <xf numFmtId="3" fontId="84" fillId="0" borderId="191" xfId="569" applyNumberFormat="1" applyFont="1" applyBorder="1" applyAlignment="1">
      <alignment horizontal="right" wrapText="1"/>
    </xf>
    <xf numFmtId="3" fontId="69" fillId="0" borderId="191" xfId="569" applyNumberFormat="1" applyFont="1" applyBorder="1" applyAlignment="1">
      <alignment horizontal="right" wrapText="1"/>
    </xf>
    <xf numFmtId="3" fontId="107" fillId="0" borderId="217" xfId="569" applyNumberFormat="1" applyFont="1" applyBorder="1" applyAlignment="1">
      <alignment horizontal="right" wrapText="1"/>
    </xf>
    <xf numFmtId="3" fontId="36" fillId="0" borderId="192" xfId="569" applyNumberFormat="1" applyFont="1" applyBorder="1" applyAlignment="1">
      <alignment horizontal="right" wrapText="1"/>
    </xf>
    <xf numFmtId="0" fontId="44" fillId="0" borderId="0" xfId="0" applyFont="1"/>
    <xf numFmtId="171" fontId="44" fillId="63" borderId="137" xfId="409" applyNumberFormat="1" applyFont="1" applyFill="1" applyBorder="1"/>
    <xf numFmtId="3" fontId="36" fillId="63" borderId="124" xfId="569" applyNumberFormat="1" applyFont="1" applyFill="1" applyBorder="1" applyAlignment="1">
      <alignment horizontal="right"/>
    </xf>
    <xf numFmtId="171" fontId="44" fillId="63" borderId="255" xfId="409" applyNumberFormat="1" applyFont="1" applyFill="1" applyBorder="1"/>
    <xf numFmtId="171" fontId="44" fillId="63" borderId="57" xfId="409" applyNumberFormat="1" applyFont="1" applyFill="1" applyBorder="1" applyAlignment="1">
      <alignment horizontal="right"/>
    </xf>
    <xf numFmtId="3" fontId="36" fillId="63" borderId="217" xfId="569" applyNumberFormat="1" applyFont="1" applyFill="1" applyBorder="1"/>
    <xf numFmtId="171" fontId="44" fillId="63" borderId="201" xfId="409" applyNumberFormat="1" applyFont="1" applyFill="1" applyBorder="1"/>
    <xf numFmtId="3" fontId="36" fillId="63" borderId="17" xfId="569" applyNumberFormat="1" applyFont="1" applyFill="1" applyBorder="1"/>
    <xf numFmtId="171" fontId="56" fillId="45" borderId="201" xfId="409" applyNumberFormat="1" applyFont="1" applyFill="1" applyBorder="1"/>
    <xf numFmtId="3" fontId="36" fillId="63" borderId="95" xfId="569" applyNumberFormat="1" applyFont="1" applyFill="1" applyBorder="1" applyAlignment="1">
      <alignment horizontal="left"/>
    </xf>
    <xf numFmtId="3" fontId="108" fillId="63" borderId="195" xfId="569" applyNumberFormat="1" applyFont="1" applyFill="1" applyBorder="1"/>
    <xf numFmtId="3" fontId="115" fillId="63" borderId="266" xfId="571" applyNumberFormat="1" applyFont="1" applyFill="1" applyBorder="1" applyAlignment="1">
      <alignment horizontal="right"/>
    </xf>
    <xf numFmtId="3" fontId="115" fillId="63" borderId="97" xfId="571" applyNumberFormat="1" applyFont="1" applyFill="1" applyBorder="1" applyAlignment="1">
      <alignment horizontal="right"/>
    </xf>
    <xf numFmtId="3" fontId="36" fillId="63" borderId="96" xfId="569" applyNumberFormat="1" applyFont="1" applyFill="1" applyBorder="1" applyAlignment="1">
      <alignment horizontal="left"/>
    </xf>
    <xf numFmtId="171" fontId="129" fillId="63" borderId="137" xfId="409" applyNumberFormat="1" applyFont="1" applyFill="1" applyBorder="1"/>
    <xf numFmtId="3" fontId="36" fillId="0" borderId="141" xfId="569" applyNumberFormat="1" applyFont="1" applyFill="1" applyBorder="1"/>
    <xf numFmtId="0" fontId="134" fillId="0" borderId="137" xfId="569" applyFont="1" applyFill="1" applyBorder="1" applyAlignment="1">
      <alignment horizontal="left"/>
    </xf>
    <xf numFmtId="3" fontId="134" fillId="0" borderId="137" xfId="569" applyNumberFormat="1" applyFont="1" applyFill="1" applyBorder="1" applyAlignment="1">
      <alignment horizontal="left" vertical="center"/>
    </xf>
    <xf numFmtId="3" fontId="135" fillId="0" borderId="137" xfId="569" applyNumberFormat="1" applyFont="1" applyFill="1" applyBorder="1" applyAlignment="1">
      <alignment horizontal="left"/>
    </xf>
    <xf numFmtId="3" fontId="36" fillId="55" borderId="91" xfId="569" applyNumberFormat="1" applyFont="1" applyFill="1" applyBorder="1"/>
    <xf numFmtId="3" fontId="44" fillId="55" borderId="137" xfId="409" applyNumberFormat="1" applyFont="1" applyFill="1" applyBorder="1"/>
    <xf numFmtId="0" fontId="135" fillId="0" borderId="127" xfId="569" applyFont="1" applyBorder="1"/>
    <xf numFmtId="0" fontId="135" fillId="0" borderId="137" xfId="569" applyFont="1" applyBorder="1"/>
    <xf numFmtId="3" fontId="135" fillId="0" borderId="137" xfId="569" applyNumberFormat="1" applyFont="1" applyBorder="1"/>
    <xf numFmtId="3" fontId="135" fillId="0" borderId="91" xfId="569" applyNumberFormat="1" applyFont="1" applyBorder="1"/>
    <xf numFmtId="3" fontId="135" fillId="0" borderId="137" xfId="569" applyNumberFormat="1" applyFont="1" applyFill="1" applyBorder="1"/>
    <xf numFmtId="3" fontId="135" fillId="0" borderId="84" xfId="569" applyNumberFormat="1" applyFont="1" applyBorder="1"/>
    <xf numFmtId="3" fontId="135" fillId="0" borderId="89" xfId="569" applyNumberFormat="1" applyFont="1" applyFill="1" applyBorder="1"/>
    <xf numFmtId="3" fontId="135" fillId="45" borderId="97" xfId="569" applyNumberFormat="1" applyFont="1" applyFill="1" applyBorder="1"/>
    <xf numFmtId="3" fontId="135" fillId="0" borderId="110" xfId="569" applyNumberFormat="1" applyFont="1" applyBorder="1"/>
    <xf numFmtId="3" fontId="135" fillId="0" borderId="203" xfId="569" applyNumberFormat="1" applyFont="1" applyBorder="1"/>
    <xf numFmtId="3" fontId="135" fillId="0" borderId="0" xfId="569" applyNumberFormat="1" applyFont="1" applyFill="1" applyBorder="1" applyAlignment="1">
      <alignment horizontal="left"/>
    </xf>
    <xf numFmtId="0" fontId="136" fillId="0" borderId="0" xfId="569" applyFont="1" applyFill="1" applyBorder="1"/>
    <xf numFmtId="0" fontId="135" fillId="0" borderId="0" xfId="569" applyFont="1" applyFill="1" applyBorder="1" applyAlignment="1">
      <alignment horizontal="left"/>
    </xf>
    <xf numFmtId="0" fontId="136" fillId="0" borderId="0" xfId="569" applyFont="1" applyBorder="1"/>
    <xf numFmtId="0" fontId="137" fillId="0" borderId="0" xfId="569" applyFont="1" applyBorder="1"/>
    <xf numFmtId="0" fontId="43" fillId="7" borderId="235" xfId="569" applyFont="1" applyFill="1" applyBorder="1" applyAlignment="1">
      <alignment vertical="top"/>
    </xf>
    <xf numFmtId="0" fontId="43" fillId="7" borderId="231" xfId="569" applyFont="1" applyFill="1" applyBorder="1" applyAlignment="1">
      <alignment horizontal="center" vertical="center"/>
    </xf>
    <xf numFmtId="0" fontId="43" fillId="7" borderId="116" xfId="569" applyFont="1" applyFill="1" applyBorder="1" applyAlignment="1">
      <alignment horizontal="center" vertical="center"/>
    </xf>
    <xf numFmtId="1" fontId="43" fillId="7" borderId="301" xfId="569" applyNumberFormat="1" applyFont="1" applyFill="1" applyBorder="1" applyAlignment="1">
      <alignment horizontal="center" vertical="center"/>
    </xf>
    <xf numFmtId="1" fontId="37" fillId="7" borderId="342" xfId="569" applyNumberFormat="1" applyFont="1" applyFill="1" applyBorder="1" applyAlignment="1">
      <alignment horizontal="center" vertical="center" wrapText="1"/>
    </xf>
    <xf numFmtId="1" fontId="55" fillId="51" borderId="261" xfId="409" applyNumberFormat="1" applyFont="1" applyFill="1" applyBorder="1" applyAlignment="1">
      <alignment horizontal="center" vertical="center" wrapText="1"/>
    </xf>
    <xf numFmtId="1" fontId="43" fillId="7" borderId="231" xfId="569" applyNumberFormat="1" applyFont="1" applyFill="1" applyBorder="1" applyAlignment="1">
      <alignment horizontal="center" vertical="center"/>
    </xf>
    <xf numFmtId="1" fontId="43" fillId="7" borderId="232" xfId="569" applyNumberFormat="1" applyFont="1" applyFill="1" applyBorder="1" applyAlignment="1">
      <alignment horizontal="center" vertical="center"/>
    </xf>
    <xf numFmtId="1" fontId="36" fillId="64" borderId="137" xfId="569" applyNumberFormat="1" applyFont="1" applyFill="1" applyBorder="1" applyAlignment="1">
      <alignment horizontal="center" vertical="center" wrapText="1"/>
    </xf>
    <xf numFmtId="0" fontId="36" fillId="64" borderId="137" xfId="569" applyFont="1" applyFill="1" applyBorder="1"/>
    <xf numFmtId="0" fontId="36" fillId="64" borderId="137" xfId="569" applyFont="1" applyFill="1" applyBorder="1" applyAlignment="1">
      <alignment vertical="top"/>
    </xf>
    <xf numFmtId="0" fontId="36" fillId="64" borderId="137" xfId="569" applyFont="1" applyFill="1" applyBorder="1" applyAlignment="1">
      <alignment horizontal="center" vertical="center"/>
    </xf>
    <xf numFmtId="1" fontId="36" fillId="64" borderId="137" xfId="569" applyNumberFormat="1" applyFont="1" applyFill="1" applyBorder="1" applyAlignment="1">
      <alignment horizontal="center" vertical="center"/>
    </xf>
    <xf numFmtId="1" fontId="44" fillId="64" borderId="137" xfId="409" applyNumberFormat="1" applyFont="1" applyFill="1" applyBorder="1" applyAlignment="1">
      <alignment horizontal="center" vertical="center" wrapText="1"/>
    </xf>
    <xf numFmtId="0" fontId="36" fillId="55" borderId="0" xfId="569" applyFont="1" applyFill="1" applyBorder="1" applyAlignment="1">
      <alignment horizontal="justify" vertical="center"/>
    </xf>
    <xf numFmtId="0" fontId="36" fillId="55" borderId="0" xfId="569" applyFont="1" applyFill="1" applyBorder="1" applyAlignment="1">
      <alignment horizontal="center" vertical="center"/>
    </xf>
    <xf numFmtId="2" fontId="36" fillId="55" borderId="0" xfId="569" applyNumberFormat="1" applyFont="1" applyFill="1" applyBorder="1" applyAlignment="1">
      <alignment horizontal="justify" vertical="center"/>
    </xf>
    <xf numFmtId="1" fontId="36" fillId="55" borderId="0" xfId="569" applyNumberFormat="1" applyFont="1" applyFill="1" applyBorder="1" applyAlignment="1">
      <alignment horizontal="justify" vertical="top"/>
    </xf>
    <xf numFmtId="1" fontId="36" fillId="55" borderId="0" xfId="569" applyNumberFormat="1" applyFont="1" applyFill="1" applyBorder="1" applyAlignment="1">
      <alignment horizontal="center" vertical="center"/>
    </xf>
    <xf numFmtId="0" fontId="36" fillId="55" borderId="0" xfId="569" applyFont="1" applyFill="1" applyBorder="1"/>
    <xf numFmtId="0" fontId="36" fillId="64" borderId="137" xfId="569" applyFont="1" applyFill="1" applyBorder="1" applyAlignment="1">
      <alignment horizontal="left"/>
    </xf>
    <xf numFmtId="171" fontId="44" fillId="65" borderId="89" xfId="409" applyNumberFormat="1" applyFont="1" applyFill="1" applyBorder="1"/>
    <xf numFmtId="171" fontId="138" fillId="45" borderId="201" xfId="409" applyNumberFormat="1" applyFont="1" applyFill="1" applyBorder="1"/>
    <xf numFmtId="171" fontId="138" fillId="45" borderId="89" xfId="409" applyNumberFormat="1" applyFont="1" applyFill="1" applyBorder="1"/>
    <xf numFmtId="3" fontId="36" fillId="65" borderId="63" xfId="569" applyNumberFormat="1" applyFont="1" applyFill="1" applyBorder="1"/>
    <xf numFmtId="0" fontId="0" fillId="0" borderId="0" xfId="0"/>
    <xf numFmtId="171" fontId="44" fillId="45" borderId="201" xfId="409" applyNumberFormat="1" applyFont="1" applyFill="1" applyBorder="1" applyAlignment="1">
      <alignment horizontal="right" wrapText="1"/>
    </xf>
    <xf numFmtId="171" fontId="44" fillId="0" borderId="17" xfId="409" applyNumberFormat="1" applyFont="1" applyFill="1" applyBorder="1" applyAlignment="1">
      <alignment horizontal="right" wrapText="1"/>
    </xf>
    <xf numFmtId="3" fontId="86" fillId="30" borderId="212" xfId="571" applyNumberFormat="1" applyFont="1" applyFill="1" applyBorder="1" applyAlignment="1">
      <alignment horizontal="center"/>
    </xf>
    <xf numFmtId="3" fontId="86" fillId="30" borderId="326" xfId="571" applyNumberFormat="1" applyFont="1" applyFill="1" applyBorder="1" applyAlignment="1">
      <alignment horizontal="center"/>
    </xf>
    <xf numFmtId="3" fontId="108" fillId="0" borderId="75" xfId="569" applyNumberFormat="1" applyFont="1" applyBorder="1" applyAlignment="1">
      <alignment horizontal="center"/>
    </xf>
    <xf numFmtId="3" fontId="108" fillId="0" borderId="262" xfId="569" applyNumberFormat="1" applyFont="1" applyBorder="1" applyAlignment="1">
      <alignment horizontal="center"/>
    </xf>
    <xf numFmtId="3" fontId="36" fillId="0" borderId="265" xfId="569" applyNumberFormat="1" applyFont="1" applyFill="1" applyBorder="1" applyAlignment="1">
      <alignment horizontal="right" wrapText="1"/>
    </xf>
    <xf numFmtId="3" fontId="84" fillId="0" borderId="265" xfId="569" applyNumberFormat="1" applyFont="1" applyFill="1" applyBorder="1" applyAlignment="1">
      <alignment horizontal="right" wrapText="1"/>
    </xf>
    <xf numFmtId="1" fontId="44" fillId="0" borderId="21" xfId="409" applyNumberFormat="1" applyFont="1" applyFill="1" applyBorder="1" applyAlignment="1">
      <alignment horizontal="right" wrapText="1"/>
    </xf>
    <xf numFmtId="3" fontId="97" fillId="0" borderId="264" xfId="569" applyNumberFormat="1" applyFont="1" applyFill="1" applyBorder="1" applyAlignment="1">
      <alignment horizontal="right" wrapText="1"/>
    </xf>
    <xf numFmtId="3" fontId="84" fillId="0" borderId="264" xfId="569" applyNumberFormat="1" applyFont="1" applyFill="1" applyBorder="1" applyAlignment="1">
      <alignment horizontal="right" wrapText="1"/>
    </xf>
    <xf numFmtId="3" fontId="108" fillId="0" borderId="21" xfId="569" applyNumberFormat="1" applyFont="1" applyFill="1" applyBorder="1" applyAlignment="1">
      <alignment horizontal="center"/>
    </xf>
    <xf numFmtId="3" fontId="108" fillId="0" borderId="137" xfId="569" applyNumberFormat="1" applyFont="1" applyFill="1" applyBorder="1" applyAlignment="1">
      <alignment horizontal="center"/>
    </xf>
    <xf numFmtId="3" fontId="108" fillId="0" borderId="87" xfId="569" applyNumberFormat="1" applyFont="1" applyFill="1" applyBorder="1" applyAlignment="1">
      <alignment horizontal="center"/>
    </xf>
    <xf numFmtId="171" fontId="130" fillId="45" borderId="137" xfId="409" applyNumberFormat="1" applyFont="1" applyFill="1" applyBorder="1" applyAlignment="1">
      <alignment horizontal="center"/>
    </xf>
    <xf numFmtId="3" fontId="108" fillId="0" borderId="17" xfId="569" applyNumberFormat="1" applyFont="1" applyFill="1" applyBorder="1" applyAlignment="1">
      <alignment horizontal="center"/>
    </xf>
    <xf numFmtId="3" fontId="108" fillId="0" borderId="265" xfId="569" applyNumberFormat="1" applyFont="1" applyFill="1" applyBorder="1" applyAlignment="1">
      <alignment horizontal="center"/>
    </xf>
    <xf numFmtId="1" fontId="44" fillId="0" borderId="110" xfId="409" applyNumberFormat="1" applyFont="1" applyFill="1" applyBorder="1" applyAlignment="1">
      <alignment horizontal="right" wrapText="1"/>
    </xf>
    <xf numFmtId="3" fontId="108" fillId="0" borderId="0" xfId="569" applyNumberFormat="1" applyFont="1" applyFill="1" applyBorder="1" applyAlignment="1">
      <alignment horizontal="center"/>
    </xf>
    <xf numFmtId="3" fontId="108" fillId="0" borderId="86" xfId="569" applyNumberFormat="1" applyFont="1" applyFill="1" applyBorder="1" applyAlignment="1">
      <alignment horizontal="center"/>
    </xf>
    <xf numFmtId="3" fontId="108" fillId="45" borderId="98" xfId="569" applyNumberFormat="1" applyFont="1" applyFill="1" applyBorder="1" applyAlignment="1">
      <alignment horizontal="center"/>
    </xf>
    <xf numFmtId="1" fontId="108" fillId="0" borderId="0" xfId="569" applyNumberFormat="1" applyFont="1" applyFill="1" applyBorder="1" applyAlignment="1">
      <alignment horizontal="center"/>
    </xf>
    <xf numFmtId="3" fontId="108" fillId="0" borderId="207" xfId="569" applyNumberFormat="1" applyFont="1" applyFill="1" applyBorder="1" applyAlignment="1">
      <alignment horizontal="center"/>
    </xf>
    <xf numFmtId="3" fontId="108" fillId="0" borderId="264" xfId="569" applyNumberFormat="1" applyFont="1" applyFill="1" applyBorder="1" applyAlignment="1">
      <alignment horizontal="center"/>
    </xf>
    <xf numFmtId="171" fontId="129" fillId="45" borderId="137" xfId="409" applyNumberFormat="1" applyFont="1" applyFill="1" applyBorder="1" applyAlignment="1">
      <alignment horizontal="right" wrapText="1"/>
    </xf>
    <xf numFmtId="1" fontId="44" fillId="0" borderId="34" xfId="409" applyNumberFormat="1" applyFont="1" applyBorder="1" applyAlignment="1">
      <alignment horizontal="right" wrapText="1"/>
    </xf>
    <xf numFmtId="3" fontId="36" fillId="0" borderId="191" xfId="569" applyNumberFormat="1" applyFont="1" applyBorder="1" applyAlignment="1">
      <alignment horizontal="left" wrapText="1"/>
    </xf>
    <xf numFmtId="1" fontId="44" fillId="0" borderId="75" xfId="409" applyNumberFormat="1" applyFont="1" applyBorder="1" applyAlignment="1">
      <alignment horizontal="right" wrapText="1"/>
    </xf>
    <xf numFmtId="3" fontId="36" fillId="0" borderId="190" xfId="569" applyNumberFormat="1" applyFont="1" applyBorder="1" applyAlignment="1">
      <alignment horizontal="left" wrapText="1"/>
    </xf>
    <xf numFmtId="1" fontId="44" fillId="0" borderId="57" xfId="409" applyNumberFormat="1" applyFont="1" applyBorder="1" applyAlignment="1">
      <alignment horizontal="right" wrapText="1"/>
    </xf>
    <xf numFmtId="3" fontId="36" fillId="0" borderId="217" xfId="569" applyNumberFormat="1" applyFont="1" applyBorder="1" applyAlignment="1">
      <alignment horizontal="left" wrapText="1"/>
    </xf>
    <xf numFmtId="1" fontId="44" fillId="0" borderId="75" xfId="409" applyNumberFormat="1" applyFont="1" applyBorder="1" applyAlignment="1">
      <alignment horizontal="center"/>
    </xf>
    <xf numFmtId="3" fontId="115" fillId="0" borderId="268" xfId="571" applyNumberFormat="1" applyFont="1" applyFill="1" applyBorder="1" applyAlignment="1">
      <alignment horizontal="center"/>
    </xf>
    <xf numFmtId="3" fontId="115" fillId="0" borderId="194" xfId="571" applyNumberFormat="1" applyFont="1" applyFill="1" applyBorder="1" applyAlignment="1">
      <alignment horizontal="center"/>
    </xf>
    <xf numFmtId="3" fontId="116" fillId="0" borderId="262" xfId="569" applyNumberFormat="1" applyFont="1" applyBorder="1" applyAlignment="1">
      <alignment horizontal="center"/>
    </xf>
    <xf numFmtId="3" fontId="115" fillId="0" borderId="228" xfId="569" applyNumberFormat="1" applyFont="1" applyBorder="1" applyAlignment="1">
      <alignment horizontal="center"/>
    </xf>
    <xf numFmtId="3" fontId="115" fillId="0" borderId="228" xfId="569" applyNumberFormat="1" applyFont="1" applyBorder="1" applyAlignment="1">
      <alignment horizontal="right" wrapText="1"/>
    </xf>
    <xf numFmtId="3" fontId="36" fillId="0" borderId="263" xfId="569" applyNumberFormat="1" applyFont="1" applyBorder="1" applyAlignment="1">
      <alignment horizontal="right" wrapText="1"/>
    </xf>
    <xf numFmtId="171" fontId="130" fillId="0" borderId="34" xfId="409" applyNumberFormat="1" applyFont="1" applyBorder="1" applyAlignment="1">
      <alignment horizontal="right"/>
    </xf>
    <xf numFmtId="3" fontId="108" fillId="0" borderId="227" xfId="569" applyNumberFormat="1" applyFont="1" applyBorder="1" applyAlignment="1">
      <alignment horizontal="center"/>
    </xf>
    <xf numFmtId="171" fontId="122" fillId="0" borderId="34" xfId="409" applyNumberFormat="1" applyFont="1" applyFill="1" applyBorder="1" applyAlignment="1">
      <alignment horizontal="right" wrapText="1"/>
    </xf>
    <xf numFmtId="171" fontId="122" fillId="0" borderId="34" xfId="409" applyNumberFormat="1" applyFont="1" applyBorder="1" applyAlignment="1">
      <alignment horizontal="right" wrapText="1"/>
    </xf>
    <xf numFmtId="171" fontId="122" fillId="0" borderId="57" xfId="409" applyNumberFormat="1" applyFont="1" applyBorder="1" applyAlignment="1">
      <alignment horizontal="right" wrapText="1"/>
    </xf>
    <xf numFmtId="3" fontId="110" fillId="0" borderId="227" xfId="569" applyNumberFormat="1" applyFont="1" applyFill="1" applyBorder="1" applyAlignment="1">
      <alignment horizontal="right" wrapText="1"/>
    </xf>
    <xf numFmtId="3" fontId="110" fillId="0" borderId="227" xfId="569" applyNumberFormat="1" applyFont="1" applyBorder="1" applyAlignment="1">
      <alignment horizontal="right" wrapText="1"/>
    </xf>
    <xf numFmtId="3" fontId="110" fillId="0" borderId="228" xfId="569" applyNumberFormat="1" applyFont="1" applyBorder="1" applyAlignment="1">
      <alignment horizontal="right" wrapText="1"/>
    </xf>
    <xf numFmtId="3" fontId="125" fillId="0" borderId="227" xfId="569" applyNumberFormat="1" applyFont="1" applyBorder="1" applyAlignment="1">
      <alignment horizontal="center"/>
    </xf>
    <xf numFmtId="171" fontId="130" fillId="0" borderId="57" xfId="409" applyNumberFormat="1" applyFont="1" applyBorder="1" applyAlignment="1">
      <alignment horizontal="right" wrapText="1"/>
    </xf>
    <xf numFmtId="3" fontId="101" fillId="35" borderId="137" xfId="0" applyNumberFormat="1" applyFont="1" applyFill="1" applyBorder="1" applyAlignment="1" applyProtection="1">
      <alignment horizontal="right"/>
      <protection locked="0"/>
    </xf>
    <xf numFmtId="3" fontId="101" fillId="3" borderId="137" xfId="0" applyNumberFormat="1" applyFont="1" applyFill="1" applyBorder="1" applyAlignment="1">
      <alignment horizontal="right"/>
    </xf>
    <xf numFmtId="3" fontId="101" fillId="35" borderId="198" xfId="0" applyNumberFormat="1" applyFont="1" applyFill="1" applyBorder="1" applyAlignment="1">
      <alignment horizontal="right"/>
    </xf>
    <xf numFmtId="49" fontId="29" fillId="0" borderId="96" xfId="0" applyNumberFormat="1" applyFont="1" applyBorder="1" applyAlignment="1">
      <alignment horizontal="center"/>
    </xf>
    <xf numFmtId="0" fontId="100" fillId="0" borderId="184" xfId="0" applyFont="1" applyBorder="1"/>
    <xf numFmtId="0" fontId="100" fillId="0" borderId="269" xfId="0" applyFont="1" applyBorder="1"/>
    <xf numFmtId="0" fontId="43" fillId="7" borderId="343" xfId="569" applyFont="1" applyFill="1" applyBorder="1" applyAlignment="1">
      <alignment horizontal="center" vertical="center"/>
    </xf>
    <xf numFmtId="0" fontId="43" fillId="7" borderId="344" xfId="569" applyFont="1" applyFill="1" applyBorder="1" applyAlignment="1">
      <alignment horizontal="center" vertical="center"/>
    </xf>
    <xf numFmtId="3" fontId="37" fillId="8" borderId="91" xfId="569" applyNumberFormat="1" applyFont="1" applyFill="1" applyBorder="1"/>
    <xf numFmtId="3" fontId="71" fillId="0" borderId="91" xfId="569" applyNumberFormat="1" applyFont="1" applyFill="1" applyBorder="1"/>
    <xf numFmtId="3" fontId="74" fillId="0" borderId="91" xfId="569" applyNumberFormat="1" applyFont="1" applyFill="1" applyBorder="1"/>
    <xf numFmtId="3" fontId="69" fillId="0" borderId="91" xfId="569" applyNumberFormat="1" applyFont="1" applyBorder="1" applyAlignment="1">
      <alignment horizontal="right"/>
    </xf>
    <xf numFmtId="3" fontId="0" fillId="0" borderId="91" xfId="0" applyNumberFormat="1" applyBorder="1"/>
    <xf numFmtId="3" fontId="84" fillId="0" borderId="91" xfId="569" applyNumberFormat="1" applyFont="1" applyFill="1" applyBorder="1" applyAlignment="1">
      <alignment horizontal="right"/>
    </xf>
    <xf numFmtId="3" fontId="84" fillId="0" borderId="109" xfId="569" applyNumberFormat="1" applyFont="1" applyFill="1" applyBorder="1"/>
    <xf numFmtId="3" fontId="69" fillId="0" borderId="173" xfId="569" applyNumberFormat="1" applyFont="1" applyFill="1" applyBorder="1" applyAlignment="1">
      <alignment horizontal="left"/>
    </xf>
    <xf numFmtId="3" fontId="36" fillId="0" borderId="173" xfId="569" applyNumberFormat="1" applyFont="1" applyFill="1" applyBorder="1"/>
    <xf numFmtId="3" fontId="37" fillId="8" borderId="173" xfId="569" applyNumberFormat="1" applyFont="1" applyFill="1" applyBorder="1"/>
    <xf numFmtId="3" fontId="71" fillId="0" borderId="173" xfId="569" applyNumberFormat="1" applyFont="1" applyFill="1" applyBorder="1"/>
    <xf numFmtId="3" fontId="74" fillId="0" borderId="173" xfId="569" applyNumberFormat="1" applyFont="1" applyFill="1" applyBorder="1" applyAlignment="1">
      <alignment horizontal="right"/>
    </xf>
    <xf numFmtId="3" fontId="74" fillId="0" borderId="173" xfId="569" applyNumberFormat="1" applyFont="1" applyFill="1" applyBorder="1"/>
    <xf numFmtId="3" fontId="6" fillId="0" borderId="173" xfId="569" applyNumberFormat="1" applyFont="1" applyBorder="1"/>
    <xf numFmtId="3" fontId="36" fillId="0" borderId="183" xfId="569" applyNumberFormat="1" applyFont="1" applyFill="1" applyBorder="1"/>
    <xf numFmtId="3" fontId="31" fillId="0" borderId="178" xfId="569" applyNumberFormat="1" applyFont="1" applyFill="1" applyBorder="1" applyAlignment="1">
      <alignment horizontal="center" vertical="center"/>
    </xf>
    <xf numFmtId="3" fontId="69" fillId="0" borderId="173" xfId="569" applyNumberFormat="1" applyFont="1" applyBorder="1" applyAlignment="1">
      <alignment horizontal="right"/>
    </xf>
    <xf numFmtId="3" fontId="0" fillId="0" borderId="178" xfId="0" applyNumberFormat="1" applyBorder="1"/>
    <xf numFmtId="3" fontId="44" fillId="0" borderId="178" xfId="0" applyNumberFormat="1" applyFont="1" applyBorder="1"/>
    <xf numFmtId="3" fontId="69" fillId="0" borderId="173" xfId="569" applyNumberFormat="1" applyFont="1" applyFill="1" applyBorder="1" applyAlignment="1">
      <alignment horizontal="right"/>
    </xf>
    <xf numFmtId="3" fontId="84" fillId="0" borderId="200" xfId="569" applyNumberFormat="1" applyFont="1" applyFill="1" applyBorder="1"/>
    <xf numFmtId="3" fontId="106" fillId="26" borderId="211" xfId="569" applyNumberFormat="1" applyFont="1" applyFill="1" applyBorder="1"/>
    <xf numFmtId="3" fontId="37" fillId="15" borderId="179" xfId="569" applyNumberFormat="1" applyFont="1" applyFill="1" applyBorder="1"/>
    <xf numFmtId="3" fontId="37" fillId="15" borderId="173" xfId="569" applyNumberFormat="1" applyFont="1" applyFill="1" applyBorder="1" applyAlignment="1">
      <alignment horizontal="right"/>
    </xf>
    <xf numFmtId="3" fontId="36" fillId="0" borderId="173" xfId="569" applyNumberFormat="1" applyFont="1" applyBorder="1" applyAlignment="1">
      <alignment horizontal="right"/>
    </xf>
    <xf numFmtId="3" fontId="36" fillId="0" borderId="183" xfId="569" applyNumberFormat="1" applyFont="1" applyBorder="1" applyAlignment="1">
      <alignment horizontal="right"/>
    </xf>
    <xf numFmtId="3" fontId="31" fillId="0" borderId="345" xfId="569" applyNumberFormat="1" applyFont="1" applyFill="1" applyBorder="1" applyAlignment="1">
      <alignment horizontal="center" vertical="center"/>
    </xf>
    <xf numFmtId="3" fontId="36" fillId="0" borderId="178" xfId="569" applyNumberFormat="1" applyFont="1" applyFill="1" applyBorder="1"/>
    <xf numFmtId="3" fontId="86" fillId="4" borderId="209" xfId="569" applyNumberFormat="1" applyFont="1" applyFill="1" applyBorder="1"/>
    <xf numFmtId="3" fontId="86" fillId="4" borderId="199" xfId="569" applyNumberFormat="1" applyFont="1" applyFill="1" applyBorder="1"/>
    <xf numFmtId="3" fontId="36" fillId="0" borderId="203" xfId="569" applyNumberFormat="1" applyFont="1" applyFill="1" applyBorder="1"/>
    <xf numFmtId="0" fontId="43" fillId="7" borderId="320" xfId="569" applyFont="1" applyFill="1" applyBorder="1" applyAlignment="1">
      <alignment horizontal="center" vertical="center"/>
    </xf>
    <xf numFmtId="0" fontId="43" fillId="7" borderId="308" xfId="569" applyFont="1" applyFill="1" applyBorder="1" applyAlignment="1">
      <alignment horizontal="center" vertical="center"/>
    </xf>
    <xf numFmtId="0" fontId="37" fillId="7" borderId="159" xfId="569" applyFont="1" applyFill="1" applyBorder="1" applyAlignment="1">
      <alignment horizontal="center" vertical="center" wrapText="1"/>
    </xf>
    <xf numFmtId="3" fontId="36" fillId="0" borderId="219" xfId="569" applyNumberFormat="1" applyFont="1" applyBorder="1"/>
    <xf numFmtId="3" fontId="44" fillId="0" borderId="111" xfId="409" applyNumberFormat="1" applyFont="1" applyFill="1" applyBorder="1" applyAlignment="1">
      <alignment horizontal="right"/>
    </xf>
    <xf numFmtId="3" fontId="44" fillId="0" borderId="91" xfId="409" applyNumberFormat="1" applyFont="1" applyFill="1" applyBorder="1" applyAlignment="1">
      <alignment horizontal="right"/>
    </xf>
    <xf numFmtId="3" fontId="44" fillId="0" borderId="109" xfId="409" applyNumberFormat="1" applyFont="1" applyFill="1" applyBorder="1" applyAlignment="1">
      <alignment horizontal="right"/>
    </xf>
    <xf numFmtId="3" fontId="37" fillId="3" borderId="319" xfId="569" applyNumberFormat="1" applyFont="1" applyFill="1" applyBorder="1" applyAlignment="1">
      <alignment horizontal="right"/>
    </xf>
    <xf numFmtId="3" fontId="36" fillId="40" borderId="112" xfId="569" applyNumberFormat="1" applyFont="1" applyFill="1" applyBorder="1" applyAlignment="1">
      <alignment horizontal="right"/>
    </xf>
    <xf numFmtId="3" fontId="36" fillId="0" borderId="110" xfId="569" applyNumberFormat="1" applyFont="1" applyBorder="1" applyAlignment="1">
      <alignment horizontal="right"/>
    </xf>
    <xf numFmtId="3" fontId="36" fillId="0" borderId="114" xfId="569" applyNumberFormat="1" applyFont="1" applyBorder="1" applyAlignment="1">
      <alignment horizontal="right"/>
    </xf>
    <xf numFmtId="171" fontId="44" fillId="59" borderId="214" xfId="409" applyNumberFormat="1" applyFont="1" applyFill="1" applyBorder="1" applyAlignment="1">
      <alignment horizontal="center"/>
    </xf>
    <xf numFmtId="0" fontId="0" fillId="0" borderId="0" xfId="0"/>
    <xf numFmtId="0" fontId="44" fillId="0" borderId="0" xfId="0" applyFont="1"/>
    <xf numFmtId="3" fontId="29" fillId="0" borderId="137" xfId="0" applyNumberFormat="1" applyFont="1" applyBorder="1" applyAlignment="1">
      <alignment horizontal="right" vertical="center"/>
    </xf>
    <xf numFmtId="3" fontId="44" fillId="0" borderId="16" xfId="0" applyNumberFormat="1" applyFont="1" applyBorder="1"/>
    <xf numFmtId="3" fontId="44" fillId="54" borderId="137" xfId="0" applyNumberFormat="1" applyFont="1" applyFill="1" applyBorder="1" applyAlignment="1">
      <alignment horizontal="right"/>
    </xf>
    <xf numFmtId="3" fontId="44" fillId="0" borderId="137" xfId="0" applyNumberFormat="1" applyFont="1" applyFill="1" applyBorder="1" applyAlignment="1">
      <alignment horizontal="right"/>
    </xf>
    <xf numFmtId="3" fontId="44" fillId="45" borderId="137" xfId="0" applyNumberFormat="1" applyFont="1" applyFill="1" applyBorder="1" applyAlignment="1">
      <alignment horizontal="right"/>
    </xf>
    <xf numFmtId="49" fontId="38" fillId="0" borderId="208" xfId="0" applyNumberFormat="1" applyFont="1" applyFill="1" applyBorder="1" applyAlignment="1">
      <alignment horizontal="right"/>
    </xf>
    <xf numFmtId="0" fontId="36" fillId="0" borderId="208" xfId="0" applyFont="1" applyFill="1" applyBorder="1" applyAlignment="1">
      <alignment horizontal="center"/>
    </xf>
    <xf numFmtId="0" fontId="36" fillId="0" borderId="306" xfId="0" applyFont="1" applyFill="1" applyBorder="1"/>
    <xf numFmtId="3" fontId="36" fillId="0" borderId="214" xfId="0" applyNumberFormat="1" applyFont="1" applyFill="1" applyBorder="1" applyAlignment="1">
      <alignment horizontal="right"/>
    </xf>
    <xf numFmtId="3" fontId="36" fillId="0" borderId="348" xfId="0" applyNumberFormat="1" applyFont="1" applyFill="1" applyBorder="1" applyAlignment="1">
      <alignment horizontal="right"/>
    </xf>
    <xf numFmtId="3" fontId="36" fillId="0" borderId="347" xfId="0" applyNumberFormat="1" applyFont="1" applyFill="1" applyBorder="1" applyAlignment="1">
      <alignment horizontal="right"/>
    </xf>
    <xf numFmtId="3" fontId="36" fillId="0" borderId="138" xfId="0" applyNumberFormat="1" applyFont="1" applyFill="1" applyBorder="1" applyAlignment="1">
      <alignment horizontal="right"/>
    </xf>
    <xf numFmtId="3" fontId="36" fillId="0" borderId="333" xfId="0" applyNumberFormat="1" applyFont="1" applyFill="1" applyBorder="1" applyAlignment="1">
      <alignment horizontal="right"/>
    </xf>
    <xf numFmtId="0" fontId="44" fillId="45" borderId="137" xfId="0" applyFont="1" applyFill="1" applyBorder="1"/>
    <xf numFmtId="0" fontId="50" fillId="15" borderId="56" xfId="0" applyFont="1" applyFill="1" applyBorder="1"/>
    <xf numFmtId="0" fontId="44" fillId="15" borderId="21" xfId="0" applyFont="1" applyFill="1" applyBorder="1"/>
    <xf numFmtId="0" fontId="44" fillId="15" borderId="47" xfId="0" applyFont="1" applyFill="1" applyBorder="1"/>
    <xf numFmtId="0" fontId="0" fillId="0" borderId="109" xfId="0" applyBorder="1"/>
    <xf numFmtId="49" fontId="54" fillId="15" borderId="296" xfId="0" applyNumberFormat="1" applyFont="1" applyFill="1" applyBorder="1" applyAlignment="1">
      <alignment horizontal="right"/>
    </xf>
    <xf numFmtId="0" fontId="44" fillId="0" borderId="105" xfId="0" applyFont="1" applyBorder="1" applyAlignment="1">
      <alignment horizontal="center"/>
    </xf>
    <xf numFmtId="0" fontId="44" fillId="0" borderId="86" xfId="0" applyFont="1" applyBorder="1" applyAlignment="1">
      <alignment horizontal="center"/>
    </xf>
    <xf numFmtId="0" fontId="44" fillId="0" borderId="214" xfId="0" applyFont="1" applyBorder="1" applyAlignment="1">
      <alignment horizontal="center"/>
    </xf>
    <xf numFmtId="0" fontId="44" fillId="0" borderId="90" xfId="0" applyFont="1" applyBorder="1" applyAlignment="1">
      <alignment horizontal="center"/>
    </xf>
    <xf numFmtId="167" fontId="49" fillId="7" borderId="28" xfId="0" applyNumberFormat="1" applyFont="1" applyFill="1" applyBorder="1" applyAlignment="1"/>
    <xf numFmtId="167" fontId="52" fillId="7" borderId="117" xfId="0" applyNumberFormat="1" applyFont="1" applyFill="1" applyBorder="1"/>
    <xf numFmtId="167" fontId="96" fillId="27" borderId="84" xfId="0" applyNumberFormat="1" applyFont="1" applyFill="1" applyBorder="1"/>
    <xf numFmtId="167" fontId="52" fillId="29" borderId="133" xfId="0" applyNumberFormat="1" applyFont="1" applyFill="1" applyBorder="1"/>
    <xf numFmtId="167" fontId="50" fillId="15" borderId="17" xfId="0" applyNumberFormat="1" applyFont="1" applyFill="1" applyBorder="1" applyAlignment="1">
      <alignment horizontal="right"/>
    </xf>
    <xf numFmtId="167" fontId="44" fillId="0" borderId="84" xfId="0" applyNumberFormat="1" applyFont="1" applyFill="1" applyBorder="1" applyAlignment="1">
      <alignment horizontal="right"/>
    </xf>
    <xf numFmtId="167" fontId="44" fillId="10" borderId="0" xfId="0" applyNumberFormat="1" applyFont="1" applyFill="1" applyBorder="1" applyAlignment="1">
      <alignment horizontal="right"/>
    </xf>
    <xf numFmtId="167" fontId="36" fillId="0" borderId="138" xfId="0" applyNumberFormat="1" applyFont="1" applyFill="1" applyBorder="1" applyAlignment="1">
      <alignment horizontal="right"/>
    </xf>
    <xf numFmtId="0" fontId="55" fillId="7" borderId="92" xfId="0" applyFont="1" applyFill="1" applyBorder="1" applyAlignment="1">
      <alignment horizontal="left" vertical="center"/>
    </xf>
    <xf numFmtId="0" fontId="49" fillId="7" borderId="349" xfId="0" applyFont="1" applyFill="1" applyBorder="1" applyAlignment="1">
      <alignment vertical="center"/>
    </xf>
    <xf numFmtId="0" fontId="57" fillId="7" borderId="350" xfId="0" applyFont="1" applyFill="1" applyBorder="1" applyAlignment="1"/>
    <xf numFmtId="0" fontId="50" fillId="7" borderId="146" xfId="0" applyFont="1" applyFill="1" applyBorder="1"/>
    <xf numFmtId="0" fontId="94" fillId="27" borderId="194" xfId="0" applyFont="1" applyFill="1" applyBorder="1"/>
    <xf numFmtId="0" fontId="50" fillId="7" borderId="351" xfId="0" applyFont="1" applyFill="1" applyBorder="1"/>
    <xf numFmtId="0" fontId="50" fillId="29" borderId="352" xfId="0" applyFont="1" applyFill="1" applyBorder="1"/>
    <xf numFmtId="0" fontId="51" fillId="10" borderId="98" xfId="0" applyFont="1" applyFill="1" applyBorder="1" applyAlignment="1">
      <alignment horizontal="center"/>
    </xf>
    <xf numFmtId="0" fontId="44" fillId="10" borderId="145" xfId="0" applyFont="1" applyFill="1" applyBorder="1" applyAlignment="1"/>
    <xf numFmtId="0" fontId="51" fillId="0" borderId="98" xfId="0" applyFont="1" applyFill="1" applyBorder="1" applyAlignment="1">
      <alignment horizontal="center"/>
    </xf>
    <xf numFmtId="0" fontId="0" fillId="7" borderId="145" xfId="0" applyFont="1" applyFill="1" applyBorder="1"/>
    <xf numFmtId="0" fontId="52" fillId="15" borderId="144" xfId="0" applyFont="1" applyFill="1" applyBorder="1"/>
    <xf numFmtId="0" fontId="44" fillId="8" borderId="145" xfId="0" applyFont="1" applyFill="1" applyBorder="1"/>
    <xf numFmtId="0" fontId="44" fillId="8" borderId="144" xfId="0" applyFont="1" applyFill="1" applyBorder="1"/>
    <xf numFmtId="0" fontId="50" fillId="29" borderId="145" xfId="0" applyFont="1" applyFill="1" applyBorder="1"/>
    <xf numFmtId="0" fontId="52" fillId="15" borderId="147" xfId="0" applyFont="1" applyFill="1" applyBorder="1"/>
    <xf numFmtId="0" fontId="44" fillId="8" borderId="194" xfId="0" applyFont="1" applyFill="1" applyBorder="1"/>
    <xf numFmtId="0" fontId="53" fillId="10" borderId="98" xfId="0" applyFont="1" applyFill="1" applyBorder="1" applyAlignment="1">
      <alignment horizontal="center"/>
    </xf>
    <xf numFmtId="0" fontId="53" fillId="10" borderId="145" xfId="0" applyFont="1" applyFill="1" applyBorder="1"/>
    <xf numFmtId="0" fontId="0" fillId="0" borderId="98" xfId="0" applyFont="1" applyBorder="1" applyAlignment="1">
      <alignment horizontal="center"/>
    </xf>
    <xf numFmtId="0" fontId="0" fillId="27" borderId="145" xfId="0" applyFont="1" applyFill="1" applyBorder="1"/>
    <xf numFmtId="0" fontId="44" fillId="15" borderId="144" xfId="0" applyFont="1" applyFill="1" applyBorder="1"/>
    <xf numFmtId="0" fontId="44" fillId="0" borderId="147" xfId="0" applyFont="1" applyFill="1" applyBorder="1"/>
    <xf numFmtId="0" fontId="44" fillId="0" borderId="194" xfId="0" applyFont="1" applyFill="1" applyBorder="1"/>
    <xf numFmtId="0" fontId="36" fillId="0" borderId="266" xfId="0" applyFont="1" applyFill="1" applyBorder="1" applyAlignment="1">
      <alignment horizontal="center"/>
    </xf>
    <xf numFmtId="0" fontId="36" fillId="0" borderId="268" xfId="0" applyFont="1" applyFill="1" applyBorder="1"/>
    <xf numFmtId="0" fontId="44" fillId="15" borderId="147" xfId="0" applyFont="1" applyFill="1" applyBorder="1"/>
    <xf numFmtId="0" fontId="56" fillId="0" borderId="293" xfId="0" applyFont="1" applyBorder="1"/>
    <xf numFmtId="0" fontId="44" fillId="0" borderId="200" xfId="0" applyFont="1" applyBorder="1"/>
    <xf numFmtId="0" fontId="44" fillId="0" borderId="204" xfId="0" applyFont="1" applyBorder="1"/>
    <xf numFmtId="0" fontId="44" fillId="0" borderId="302" xfId="0" applyFont="1" applyBorder="1"/>
    <xf numFmtId="167" fontId="44" fillId="54" borderId="84" xfId="0" applyNumberFormat="1" applyFont="1" applyFill="1" applyBorder="1" applyAlignment="1">
      <alignment horizontal="right"/>
    </xf>
    <xf numFmtId="0" fontId="48" fillId="9" borderId="92" xfId="0" applyFont="1" applyFill="1" applyBorder="1" applyAlignment="1">
      <alignment horizontal="center"/>
    </xf>
    <xf numFmtId="0" fontId="48" fillId="9" borderId="289" xfId="0" applyFont="1" applyFill="1" applyBorder="1" applyAlignment="1">
      <alignment horizontal="center"/>
    </xf>
    <xf numFmtId="0" fontId="48" fillId="9" borderId="290" xfId="0" applyFont="1" applyFill="1" applyBorder="1" applyAlignment="1">
      <alignment horizontal="center"/>
    </xf>
    <xf numFmtId="167" fontId="0" fillId="9" borderId="98" xfId="0" applyNumberFormat="1" applyFont="1" applyFill="1" applyBorder="1" applyAlignment="1">
      <alignment horizontal="center"/>
    </xf>
    <xf numFmtId="1" fontId="0" fillId="9" borderId="96" xfId="0" applyNumberFormat="1" applyFont="1" applyFill="1" applyBorder="1" applyAlignment="1">
      <alignment horizontal="center" vertical="center"/>
    </xf>
    <xf numFmtId="3" fontId="44" fillId="26" borderId="108" xfId="0" applyNumberFormat="1" applyFont="1" applyFill="1" applyBorder="1" applyAlignment="1">
      <alignment horizontal="right"/>
    </xf>
    <xf numFmtId="3" fontId="44" fillId="54" borderId="127" xfId="0" applyNumberFormat="1" applyFont="1" applyFill="1" applyBorder="1" applyAlignment="1">
      <alignment horizontal="right"/>
    </xf>
    <xf numFmtId="3" fontId="44" fillId="54" borderId="203" xfId="0" applyNumberFormat="1" applyFont="1" applyFill="1" applyBorder="1" applyAlignment="1">
      <alignment horizontal="right"/>
    </xf>
    <xf numFmtId="3" fontId="44" fillId="45" borderId="127" xfId="0" applyNumberFormat="1" applyFont="1" applyFill="1" applyBorder="1" applyAlignment="1">
      <alignment horizontal="right"/>
    </xf>
    <xf numFmtId="3" fontId="44" fillId="45" borderId="203" xfId="0" applyNumberFormat="1" applyFont="1" applyFill="1" applyBorder="1" applyAlignment="1">
      <alignment horizontal="right"/>
    </xf>
    <xf numFmtId="3" fontId="44" fillId="0" borderId="203" xfId="0" applyNumberFormat="1" applyFont="1" applyFill="1" applyBorder="1" applyAlignment="1">
      <alignment horizontal="right"/>
    </xf>
    <xf numFmtId="0" fontId="44" fillId="45" borderId="127" xfId="0" applyFont="1" applyFill="1" applyBorder="1"/>
    <xf numFmtId="0" fontId="44" fillId="45" borderId="203" xfId="0" applyFont="1" applyFill="1" applyBorder="1"/>
    <xf numFmtId="0" fontId="44" fillId="54" borderId="127" xfId="0" applyFont="1" applyFill="1" applyBorder="1"/>
    <xf numFmtId="0" fontId="44" fillId="54" borderId="137" xfId="0" applyFont="1" applyFill="1" applyBorder="1"/>
    <xf numFmtId="0" fontId="44" fillId="54" borderId="203" xfId="0" applyFont="1" applyFill="1" applyBorder="1"/>
    <xf numFmtId="3" fontId="44" fillId="0" borderId="253" xfId="0" applyNumberFormat="1" applyFont="1" applyBorder="1"/>
    <xf numFmtId="3" fontId="44" fillId="54" borderId="137" xfId="0" applyNumberFormat="1" applyFont="1" applyFill="1" applyBorder="1"/>
    <xf numFmtId="3" fontId="44" fillId="45" borderId="137" xfId="0" applyNumberFormat="1" applyFont="1" applyFill="1" applyBorder="1"/>
    <xf numFmtId="3" fontId="44" fillId="0" borderId="163" xfId="0" applyNumberFormat="1" applyFont="1" applyBorder="1"/>
    <xf numFmtId="3" fontId="44" fillId="66" borderId="86" xfId="0" applyNumberFormat="1" applyFont="1" applyFill="1" applyBorder="1" applyAlignment="1">
      <alignment horizontal="right"/>
    </xf>
    <xf numFmtId="3" fontId="44" fillId="45" borderId="89" xfId="0" applyNumberFormat="1" applyFont="1" applyFill="1" applyBorder="1" applyAlignment="1">
      <alignment horizontal="right"/>
    </xf>
    <xf numFmtId="3" fontId="52" fillId="10" borderId="73" xfId="0" applyNumberFormat="1" applyFont="1" applyFill="1" applyBorder="1" applyAlignment="1"/>
    <xf numFmtId="3" fontId="44" fillId="15" borderId="17" xfId="0" applyNumberFormat="1" applyFont="1" applyFill="1" applyBorder="1" applyAlignment="1">
      <alignment horizontal="right"/>
    </xf>
    <xf numFmtId="3" fontId="44" fillId="66" borderId="0" xfId="0" applyNumberFormat="1" applyFont="1" applyFill="1" applyBorder="1" applyAlignment="1">
      <alignment horizontal="right"/>
    </xf>
    <xf numFmtId="3" fontId="44" fillId="45" borderId="84" xfId="0" applyNumberFormat="1" applyFont="1" applyFill="1" applyBorder="1" applyAlignment="1">
      <alignment horizontal="right"/>
    </xf>
    <xf numFmtId="1" fontId="52" fillId="10" borderId="0" xfId="0" applyNumberFormat="1" applyFont="1" applyFill="1" applyBorder="1"/>
    <xf numFmtId="1" fontId="50" fillId="7" borderId="0" xfId="0" applyNumberFormat="1" applyFont="1" applyFill="1" applyBorder="1"/>
    <xf numFmtId="1" fontId="50" fillId="15" borderId="17" xfId="0" applyNumberFormat="1" applyFont="1" applyFill="1" applyBorder="1"/>
    <xf numFmtId="1" fontId="44" fillId="0" borderId="17" xfId="0" applyNumberFormat="1" applyFont="1" applyBorder="1"/>
    <xf numFmtId="1" fontId="44" fillId="0" borderId="38" xfId="0" applyNumberFormat="1" applyFont="1" applyBorder="1"/>
    <xf numFmtId="3" fontId="44" fillId="15" borderId="87" xfId="0" applyNumberFormat="1" applyFont="1" applyFill="1" applyBorder="1" applyAlignment="1">
      <alignment horizontal="right"/>
    </xf>
    <xf numFmtId="1" fontId="52" fillId="10" borderId="86" xfId="0" applyNumberFormat="1" applyFont="1" applyFill="1" applyBorder="1"/>
    <xf numFmtId="1" fontId="50" fillId="7" borderId="86" xfId="0" applyNumberFormat="1" applyFont="1" applyFill="1" applyBorder="1"/>
    <xf numFmtId="1" fontId="44" fillId="15" borderId="87" xfId="0" applyNumberFormat="1" applyFont="1" applyFill="1" applyBorder="1"/>
    <xf numFmtId="1" fontId="44" fillId="0" borderId="87" xfId="0" applyNumberFormat="1" applyFont="1" applyBorder="1"/>
    <xf numFmtId="1" fontId="44" fillId="0" borderId="163" xfId="0" applyNumberFormat="1" applyFont="1" applyBorder="1"/>
    <xf numFmtId="0" fontId="52" fillId="10" borderId="0" xfId="0" applyFont="1" applyFill="1" applyBorder="1"/>
    <xf numFmtId="3" fontId="44" fillId="0" borderId="17" xfId="0" applyNumberFormat="1" applyFont="1" applyBorder="1"/>
    <xf numFmtId="0" fontId="52" fillId="10" borderId="86" xfId="0" applyFont="1" applyFill="1" applyBorder="1"/>
    <xf numFmtId="0" fontId="50" fillId="7" borderId="86" xfId="0" applyFont="1" applyFill="1" applyBorder="1"/>
    <xf numFmtId="0" fontId="44" fillId="15" borderId="87" xfId="0" applyFont="1" applyFill="1" applyBorder="1"/>
    <xf numFmtId="0" fontId="44" fillId="0" borderId="163" xfId="0" applyFont="1" applyBorder="1"/>
    <xf numFmtId="3" fontId="50" fillId="10" borderId="0" xfId="0" applyNumberFormat="1" applyFont="1" applyFill="1" applyBorder="1" applyAlignment="1"/>
    <xf numFmtId="0" fontId="44" fillId="0" borderId="91" xfId="0" applyFont="1" applyFill="1" applyBorder="1" applyAlignment="1">
      <alignment horizontal="center"/>
    </xf>
    <xf numFmtId="0" fontId="44" fillId="0" borderId="84" xfId="0" applyFont="1" applyFill="1" applyBorder="1"/>
    <xf numFmtId="0" fontId="44" fillId="0" borderId="110" xfId="0" applyFont="1" applyFill="1" applyBorder="1"/>
    <xf numFmtId="49" fontId="56" fillId="0" borderId="141" xfId="0" applyNumberFormat="1" applyFont="1" applyFill="1" applyBorder="1" applyAlignment="1">
      <alignment horizontal="right"/>
    </xf>
    <xf numFmtId="49" fontId="54" fillId="15" borderId="141" xfId="0" applyNumberFormat="1" applyFont="1" applyFill="1" applyBorder="1" applyAlignment="1">
      <alignment horizontal="right"/>
    </xf>
    <xf numFmtId="167" fontId="44" fillId="0" borderId="138" xfId="0" applyNumberFormat="1" applyFont="1" applyFill="1" applyBorder="1" applyAlignment="1">
      <alignment horizontal="right"/>
    </xf>
    <xf numFmtId="3" fontId="44" fillId="0" borderId="214" xfId="0" applyNumberFormat="1" applyFont="1" applyFill="1" applyBorder="1" applyAlignment="1">
      <alignment horizontal="right"/>
    </xf>
    <xf numFmtId="3" fontId="44" fillId="0" borderId="138" xfId="0" applyNumberFormat="1" applyFont="1" applyFill="1" applyBorder="1" applyAlignment="1">
      <alignment horizontal="right"/>
    </xf>
    <xf numFmtId="171" fontId="44" fillId="0" borderId="17" xfId="409" applyNumberFormat="1" applyFont="1" applyBorder="1" applyAlignment="1">
      <alignment wrapText="1"/>
    </xf>
    <xf numFmtId="3" fontId="44" fillId="0" borderId="38" xfId="0" applyNumberFormat="1" applyFont="1" applyBorder="1"/>
    <xf numFmtId="0" fontId="0" fillId="0" borderId="0" xfId="0"/>
    <xf numFmtId="0" fontId="0" fillId="0" borderId="0" xfId="0"/>
    <xf numFmtId="49" fontId="44" fillId="0" borderId="0" xfId="0" applyNumberFormat="1" applyFont="1" applyFill="1" applyBorder="1" applyAlignment="1">
      <alignment horizontal="center"/>
    </xf>
    <xf numFmtId="3" fontId="44" fillId="67" borderId="24" xfId="0" applyNumberFormat="1" applyFont="1" applyFill="1" applyBorder="1" applyAlignment="1">
      <alignment horizontal="right"/>
    </xf>
    <xf numFmtId="3" fontId="44" fillId="67" borderId="41" xfId="0" applyNumberFormat="1" applyFont="1" applyFill="1" applyBorder="1" applyAlignment="1">
      <alignment horizontal="right"/>
    </xf>
    <xf numFmtId="3" fontId="44" fillId="67" borderId="0" xfId="0" applyNumberFormat="1" applyFont="1" applyFill="1" applyBorder="1" applyAlignment="1">
      <alignment horizontal="right"/>
    </xf>
    <xf numFmtId="3" fontId="44" fillId="45" borderId="333" xfId="0" applyNumberFormat="1" applyFont="1" applyFill="1" applyBorder="1" applyAlignment="1">
      <alignment horizontal="right"/>
    </xf>
    <xf numFmtId="3" fontId="44" fillId="45" borderId="347" xfId="0" applyNumberFormat="1" applyFont="1" applyFill="1" applyBorder="1" applyAlignment="1">
      <alignment horizontal="right"/>
    </xf>
    <xf numFmtId="3" fontId="44" fillId="45" borderId="138" xfId="0" applyNumberFormat="1" applyFont="1" applyFill="1" applyBorder="1" applyAlignment="1">
      <alignment horizontal="right"/>
    </xf>
    <xf numFmtId="167" fontId="44" fillId="0" borderId="333" xfId="0" applyNumberFormat="1" applyFont="1" applyFill="1" applyBorder="1" applyAlignment="1">
      <alignment horizontal="right"/>
    </xf>
    <xf numFmtId="3" fontId="44" fillId="0" borderId="333" xfId="0" applyNumberFormat="1" applyFont="1" applyFill="1" applyBorder="1" applyAlignment="1">
      <alignment horizontal="right"/>
    </xf>
    <xf numFmtId="3" fontId="44" fillId="0" borderId="347" xfId="0" applyNumberFormat="1" applyFont="1" applyFill="1" applyBorder="1" applyAlignment="1">
      <alignment horizontal="right"/>
    </xf>
    <xf numFmtId="3" fontId="44" fillId="58" borderId="333" xfId="0" applyNumberFormat="1" applyFont="1" applyFill="1" applyBorder="1" applyAlignment="1">
      <alignment horizontal="right"/>
    </xf>
    <xf numFmtId="3" fontId="44" fillId="58" borderId="347" xfId="0" applyNumberFormat="1" applyFont="1" applyFill="1" applyBorder="1" applyAlignment="1">
      <alignment horizontal="right"/>
    </xf>
    <xf numFmtId="3" fontId="44" fillId="58" borderId="138" xfId="0" applyNumberFormat="1" applyFont="1" applyFill="1" applyBorder="1" applyAlignment="1">
      <alignment horizontal="right"/>
    </xf>
    <xf numFmtId="0" fontId="44" fillId="8" borderId="81" xfId="0" applyFont="1" applyFill="1" applyBorder="1"/>
    <xf numFmtId="167" fontId="44" fillId="0" borderId="82" xfId="0" applyNumberFormat="1" applyFont="1" applyFill="1" applyBorder="1" applyAlignment="1">
      <alignment horizontal="right"/>
    </xf>
    <xf numFmtId="49" fontId="44" fillId="0" borderId="91" xfId="0" applyNumberFormat="1" applyFont="1" applyFill="1" applyBorder="1" applyAlignment="1">
      <alignment horizontal="left"/>
    </xf>
    <xf numFmtId="3" fontId="36" fillId="41" borderId="201" xfId="569" applyNumberFormat="1" applyFont="1" applyFill="1" applyBorder="1" applyAlignment="1">
      <alignment horizontal="right"/>
    </xf>
    <xf numFmtId="3" fontId="36" fillId="45" borderId="21" xfId="569" applyNumberFormat="1" applyFont="1" applyFill="1" applyBorder="1" applyAlignment="1">
      <alignment horizontal="right"/>
    </xf>
    <xf numFmtId="49" fontId="44" fillId="0" borderId="184" xfId="0" applyNumberFormat="1" applyFont="1" applyFill="1" applyBorder="1" applyAlignment="1"/>
    <xf numFmtId="3" fontId="50" fillId="7" borderId="123" xfId="0" applyNumberFormat="1" applyFont="1" applyFill="1" applyBorder="1"/>
    <xf numFmtId="3" fontId="50" fillId="7" borderId="85" xfId="0" applyNumberFormat="1" applyFont="1" applyFill="1" applyBorder="1" applyAlignment="1"/>
    <xf numFmtId="3" fontId="50" fillId="7" borderId="118" xfId="0" applyNumberFormat="1" applyFont="1" applyFill="1" applyBorder="1"/>
    <xf numFmtId="3" fontId="50" fillId="10" borderId="118" xfId="0" applyNumberFormat="1" applyFont="1" applyFill="1" applyBorder="1" applyAlignment="1"/>
    <xf numFmtId="3" fontId="56" fillId="0" borderId="200" xfId="0" applyNumberFormat="1" applyFont="1" applyBorder="1"/>
    <xf numFmtId="49" fontId="44" fillId="0" borderId="353" xfId="0" applyNumberFormat="1" applyFont="1" applyFill="1" applyBorder="1" applyAlignment="1">
      <alignment horizontal="center"/>
    </xf>
    <xf numFmtId="3" fontId="44" fillId="0" borderId="117" xfId="0" applyNumberFormat="1" applyFont="1" applyFill="1" applyBorder="1" applyAlignment="1">
      <alignment horizontal="right"/>
    </xf>
    <xf numFmtId="3" fontId="44" fillId="0" borderId="146" xfId="0" applyNumberFormat="1" applyFont="1" applyFill="1" applyBorder="1" applyAlignment="1">
      <alignment horizontal="right"/>
    </xf>
    <xf numFmtId="3" fontId="50" fillId="10" borderId="84" xfId="0" applyNumberFormat="1" applyFont="1" applyFill="1" applyBorder="1" applyAlignment="1"/>
    <xf numFmtId="49" fontId="44" fillId="0" borderId="107" xfId="0" applyNumberFormat="1" applyFont="1" applyFill="1" applyBorder="1" applyAlignment="1">
      <alignment horizontal="center"/>
    </xf>
    <xf numFmtId="167" fontId="50" fillId="0" borderId="0" xfId="0" applyNumberFormat="1" applyFont="1" applyFill="1" applyBorder="1"/>
    <xf numFmtId="3" fontId="44" fillId="0" borderId="145" xfId="0" applyNumberFormat="1" applyFont="1" applyFill="1" applyBorder="1"/>
    <xf numFmtId="3" fontId="44" fillId="0" borderId="118" xfId="0" applyNumberFormat="1" applyFont="1" applyFill="1" applyBorder="1"/>
    <xf numFmtId="3" fontId="44" fillId="0" borderId="117" xfId="0" applyNumberFormat="1" applyFont="1" applyFill="1" applyBorder="1"/>
    <xf numFmtId="3" fontId="44" fillId="0" borderId="194" xfId="0" applyNumberFormat="1" applyFont="1" applyBorder="1"/>
    <xf numFmtId="0" fontId="129" fillId="8" borderId="21" xfId="0" applyFont="1" applyFill="1" applyBorder="1"/>
    <xf numFmtId="3" fontId="129" fillId="8" borderId="17" xfId="0" applyNumberFormat="1" applyFont="1" applyFill="1" applyBorder="1" applyAlignment="1"/>
    <xf numFmtId="3" fontId="129" fillId="8" borderId="87" xfId="0" applyNumberFormat="1" applyFont="1" applyFill="1" applyBorder="1" applyAlignment="1">
      <alignment horizontal="left"/>
    </xf>
    <xf numFmtId="3" fontId="129" fillId="8" borderId="17" xfId="0" applyNumberFormat="1" applyFont="1" applyFill="1" applyBorder="1" applyAlignment="1">
      <alignment horizontal="left"/>
    </xf>
    <xf numFmtId="0" fontId="129" fillId="8" borderId="80" xfId="0" applyFont="1" applyFill="1" applyBorder="1"/>
    <xf numFmtId="3" fontId="44" fillId="0" borderId="24" xfId="0" applyNumberFormat="1" applyFont="1" applyBorder="1"/>
    <xf numFmtId="0" fontId="0" fillId="0" borderId="354" xfId="0" applyFont="1" applyBorder="1"/>
    <xf numFmtId="0" fontId="0" fillId="0" borderId="243" xfId="0" applyFont="1" applyBorder="1"/>
    <xf numFmtId="3" fontId="44" fillId="0" borderId="118" xfId="0" applyNumberFormat="1" applyFont="1" applyBorder="1"/>
    <xf numFmtId="3" fontId="44" fillId="0" borderId="123" xfId="0" applyNumberFormat="1" applyFont="1" applyBorder="1"/>
    <xf numFmtId="3" fontId="44" fillId="0" borderId="125" xfId="0" applyNumberFormat="1" applyFont="1" applyBorder="1"/>
    <xf numFmtId="171" fontId="50" fillId="7" borderId="35" xfId="409" applyNumberFormat="1" applyFont="1" applyFill="1" applyBorder="1" applyAlignment="1">
      <alignment horizontal="center"/>
    </xf>
    <xf numFmtId="0" fontId="44" fillId="0" borderId="159" xfId="0" applyFont="1" applyBorder="1"/>
    <xf numFmtId="3" fontId="44" fillId="0" borderId="159" xfId="0" applyNumberFormat="1" applyFont="1" applyBorder="1"/>
    <xf numFmtId="3" fontId="0" fillId="0" borderId="24" xfId="0" applyNumberFormat="1" applyFont="1" applyFill="1" applyBorder="1"/>
    <xf numFmtId="3" fontId="0" fillId="0" borderId="16" xfId="0" applyNumberFormat="1" applyFont="1" applyBorder="1"/>
    <xf numFmtId="3" fontId="44" fillId="0" borderId="124" xfId="0" applyNumberFormat="1" applyFont="1" applyBorder="1"/>
    <xf numFmtId="3" fontId="50" fillId="15" borderId="319" xfId="0" applyNumberFormat="1" applyFont="1" applyFill="1" applyBorder="1"/>
    <xf numFmtId="3" fontId="50" fillId="15" borderId="41" xfId="0" applyNumberFormat="1" applyFont="1" applyFill="1" applyBorder="1"/>
    <xf numFmtId="3" fontId="0" fillId="0" borderId="105" xfId="0" applyNumberFormat="1" applyFont="1" applyFill="1" applyBorder="1"/>
    <xf numFmtId="3" fontId="0" fillId="0" borderId="87" xfId="0" applyNumberFormat="1" applyFont="1" applyBorder="1"/>
    <xf numFmtId="3" fontId="50" fillId="15" borderId="159" xfId="0" applyNumberFormat="1" applyFont="1" applyFill="1" applyBorder="1"/>
    <xf numFmtId="3" fontId="44" fillId="0" borderId="90" xfId="0" applyNumberFormat="1" applyFont="1" applyBorder="1"/>
    <xf numFmtId="0" fontId="0" fillId="10" borderId="25" xfId="0" applyFont="1" applyFill="1" applyBorder="1" applyAlignment="1">
      <alignment horizontal="center"/>
    </xf>
    <xf numFmtId="0" fontId="0" fillId="10" borderId="186" xfId="0" applyFont="1" applyFill="1" applyBorder="1" applyAlignment="1">
      <alignment horizontal="center"/>
    </xf>
    <xf numFmtId="0" fontId="0" fillId="10" borderId="188" xfId="0" applyFont="1" applyFill="1" applyBorder="1" applyAlignment="1">
      <alignment horizontal="center"/>
    </xf>
    <xf numFmtId="3" fontId="44" fillId="0" borderId="228" xfId="409" applyNumberFormat="1" applyFont="1" applyFill="1" applyBorder="1"/>
    <xf numFmtId="3" fontId="31" fillId="7" borderId="322" xfId="569" applyNumberFormat="1" applyFont="1" applyFill="1" applyBorder="1" applyAlignment="1">
      <alignment horizontal="center" vertical="center"/>
    </xf>
    <xf numFmtId="0" fontId="43" fillId="7" borderId="159" xfId="569" applyFont="1" applyFill="1" applyBorder="1" applyAlignment="1">
      <alignment horizontal="center" vertical="center"/>
    </xf>
    <xf numFmtId="0" fontId="31" fillId="7" borderId="213" xfId="569" applyNumberFormat="1" applyFont="1" applyFill="1" applyBorder="1" applyAlignment="1">
      <alignment horizontal="center" vertical="center"/>
    </xf>
    <xf numFmtId="0" fontId="31" fillId="7" borderId="159" xfId="569" applyNumberFormat="1" applyFont="1" applyFill="1" applyBorder="1" applyAlignment="1">
      <alignment horizontal="center" vertical="center"/>
    </xf>
    <xf numFmtId="3" fontId="44" fillId="0" borderId="91" xfId="409" applyNumberFormat="1" applyFont="1" applyFill="1" applyBorder="1" applyAlignment="1">
      <alignment horizontal="left"/>
    </xf>
    <xf numFmtId="3" fontId="50" fillId="0" borderId="91" xfId="409" applyNumberFormat="1" applyFont="1" applyFill="1" applyBorder="1" applyAlignment="1">
      <alignment horizontal="right"/>
    </xf>
    <xf numFmtId="3" fontId="44" fillId="0" borderId="265" xfId="409" applyNumberFormat="1" applyFont="1" applyFill="1" applyBorder="1" applyAlignment="1">
      <alignment horizontal="right"/>
    </xf>
    <xf numFmtId="3" fontId="44" fillId="0" borderId="64" xfId="409" applyNumberFormat="1" applyFont="1" applyFill="1" applyBorder="1" applyAlignment="1">
      <alignment horizontal="left"/>
    </xf>
    <xf numFmtId="3" fontId="50" fillId="0" borderId="278" xfId="409" applyNumberFormat="1" applyFont="1" applyFill="1" applyBorder="1" applyAlignment="1">
      <alignment horizontal="right"/>
    </xf>
    <xf numFmtId="3" fontId="44" fillId="0" borderId="21" xfId="409" applyNumberFormat="1" applyFont="1" applyFill="1" applyBorder="1" applyAlignment="1">
      <alignment horizontal="left"/>
    </xf>
    <xf numFmtId="3" fontId="44" fillId="0" borderId="17" xfId="409" applyNumberFormat="1" applyFont="1" applyFill="1" applyBorder="1" applyAlignment="1">
      <alignment horizontal="left"/>
    </xf>
    <xf numFmtId="3" fontId="44" fillId="0" borderId="102" xfId="409" applyNumberFormat="1" applyFont="1" applyFill="1" applyBorder="1" applyAlignment="1">
      <alignment horizontal="right"/>
    </xf>
    <xf numFmtId="3" fontId="50" fillId="0" borderId="177" xfId="409" applyNumberFormat="1" applyFont="1" applyFill="1" applyBorder="1" applyAlignment="1">
      <alignment horizontal="right"/>
    </xf>
    <xf numFmtId="3" fontId="44" fillId="0" borderId="189" xfId="409" applyNumberFormat="1" applyFont="1" applyFill="1" applyBorder="1" applyAlignment="1">
      <alignment horizontal="left"/>
    </xf>
    <xf numFmtId="3" fontId="50" fillId="0" borderId="173" xfId="409" applyNumberFormat="1" applyFont="1" applyFill="1" applyBorder="1" applyAlignment="1">
      <alignment horizontal="right"/>
    </xf>
    <xf numFmtId="3" fontId="44" fillId="0" borderId="174" xfId="409" applyNumberFormat="1" applyFont="1" applyFill="1" applyBorder="1" applyAlignment="1">
      <alignment horizontal="right"/>
    </xf>
    <xf numFmtId="3" fontId="44" fillId="0" borderId="174" xfId="409" applyNumberFormat="1" applyFont="1" applyFill="1" applyBorder="1" applyAlignment="1">
      <alignment horizontal="left"/>
    </xf>
    <xf numFmtId="3" fontId="44" fillId="0" borderId="173" xfId="409" applyNumberFormat="1" applyFont="1" applyFill="1" applyBorder="1" applyAlignment="1">
      <alignment horizontal="right"/>
    </xf>
    <xf numFmtId="3" fontId="44" fillId="0" borderId="173" xfId="409" applyNumberFormat="1" applyFont="1" applyFill="1" applyBorder="1" applyAlignment="1">
      <alignment horizontal="left"/>
    </xf>
    <xf numFmtId="3" fontId="44" fillId="0" borderId="175" xfId="409" applyNumberFormat="1" applyFont="1" applyFill="1" applyBorder="1" applyAlignment="1">
      <alignment horizontal="right"/>
    </xf>
    <xf numFmtId="0" fontId="36" fillId="0" borderId="126" xfId="569" applyFont="1" applyFill="1" applyBorder="1"/>
    <xf numFmtId="0" fontId="36" fillId="0" borderId="198" xfId="569" applyFont="1" applyFill="1" applyBorder="1"/>
    <xf numFmtId="0" fontId="36" fillId="0" borderId="356" xfId="569" applyFont="1" applyFill="1" applyBorder="1"/>
    <xf numFmtId="3" fontId="37" fillId="0" borderId="252" xfId="569" applyNumberFormat="1" applyFont="1" applyFill="1" applyBorder="1" applyAlignment="1">
      <alignment horizontal="right"/>
    </xf>
    <xf numFmtId="3" fontId="36" fillId="0" borderId="252" xfId="569" applyNumberFormat="1" applyFont="1" applyFill="1" applyBorder="1" applyAlignment="1">
      <alignment horizontal="right"/>
    </xf>
    <xf numFmtId="3" fontId="37" fillId="0" borderId="349" xfId="569" applyNumberFormat="1" applyFont="1" applyFill="1" applyBorder="1" applyAlignment="1">
      <alignment horizontal="right"/>
    </xf>
    <xf numFmtId="3" fontId="37" fillId="0" borderId="357" xfId="569" applyNumberFormat="1" applyFont="1" applyFill="1" applyBorder="1" applyAlignment="1">
      <alignment horizontal="right"/>
    </xf>
    <xf numFmtId="3" fontId="50" fillId="0" borderId="115" xfId="409" applyNumberFormat="1" applyFont="1" applyFill="1" applyBorder="1" applyAlignment="1">
      <alignment horizontal="right"/>
    </xf>
    <xf numFmtId="3" fontId="50" fillId="0" borderId="93" xfId="409" applyNumberFormat="1" applyFont="1" applyFill="1" applyBorder="1" applyAlignment="1">
      <alignment horizontal="right"/>
    </xf>
    <xf numFmtId="171" fontId="50" fillId="46" borderId="160" xfId="409" applyNumberFormat="1" applyFont="1" applyFill="1" applyBorder="1" applyAlignment="1">
      <alignment horizontal="center"/>
    </xf>
    <xf numFmtId="171" fontId="50" fillId="60" borderId="160" xfId="409" applyNumberFormat="1" applyFont="1" applyFill="1" applyBorder="1" applyAlignment="1">
      <alignment horizontal="center"/>
    </xf>
    <xf numFmtId="3" fontId="50" fillId="0" borderId="94" xfId="409" applyNumberFormat="1" applyFont="1" applyFill="1" applyBorder="1" applyAlignment="1">
      <alignment horizontal="right"/>
    </xf>
    <xf numFmtId="3" fontId="50" fillId="0" borderId="230" xfId="409" applyNumberFormat="1" applyFont="1" applyFill="1" applyBorder="1" applyAlignment="1">
      <alignment horizontal="right"/>
    </xf>
    <xf numFmtId="3" fontId="44" fillId="0" borderId="227" xfId="409" applyNumberFormat="1" applyFont="1" applyFill="1" applyBorder="1" applyAlignment="1">
      <alignment horizontal="left"/>
    </xf>
    <xf numFmtId="3" fontId="50" fillId="0" borderId="227" xfId="409" applyNumberFormat="1" applyFont="1" applyFill="1" applyBorder="1" applyAlignment="1">
      <alignment horizontal="right"/>
    </xf>
    <xf numFmtId="3" fontId="44" fillId="0" borderId="228" xfId="409" applyNumberFormat="1" applyFont="1" applyFill="1" applyBorder="1" applyAlignment="1">
      <alignment horizontal="right"/>
    </xf>
    <xf numFmtId="3" fontId="44" fillId="0" borderId="228" xfId="409" applyNumberFormat="1" applyFont="1" applyBorder="1" applyAlignment="1">
      <alignment horizontal="left"/>
    </xf>
    <xf numFmtId="3" fontId="44" fillId="0" borderId="227" xfId="409" applyNumberFormat="1" applyFont="1" applyBorder="1" applyAlignment="1">
      <alignment horizontal="left"/>
    </xf>
    <xf numFmtId="3" fontId="44" fillId="0" borderId="204" xfId="409" applyNumberFormat="1" applyFont="1" applyFill="1" applyBorder="1" applyAlignment="1">
      <alignment horizontal="right"/>
    </xf>
    <xf numFmtId="3" fontId="44" fillId="0" borderId="101" xfId="409" applyNumberFormat="1" applyFont="1" applyBorder="1" applyAlignment="1">
      <alignment horizontal="left"/>
    </xf>
    <xf numFmtId="3" fontId="44" fillId="0" borderId="183" xfId="409" applyNumberFormat="1" applyFont="1" applyFill="1" applyBorder="1" applyAlignment="1">
      <alignment horizontal="right"/>
    </xf>
    <xf numFmtId="171" fontId="44" fillId="46" borderId="268" xfId="409" applyNumberFormat="1" applyFont="1" applyFill="1" applyBorder="1" applyAlignment="1">
      <alignment horizontal="center"/>
    </xf>
    <xf numFmtId="171" fontId="44" fillId="45" borderId="194" xfId="409" applyNumberFormat="1" applyFont="1" applyFill="1" applyBorder="1" applyAlignment="1">
      <alignment horizontal="center"/>
    </xf>
    <xf numFmtId="171" fontId="44" fillId="46" borderId="194" xfId="409" applyNumberFormat="1" applyFont="1" applyFill="1" applyBorder="1" applyAlignment="1">
      <alignment horizontal="center"/>
    </xf>
    <xf numFmtId="171" fontId="44" fillId="45" borderId="302" xfId="409" applyNumberFormat="1" applyFont="1" applyFill="1" applyBorder="1" applyAlignment="1">
      <alignment horizontal="center"/>
    </xf>
    <xf numFmtId="3" fontId="44" fillId="0" borderId="177" xfId="409" applyNumberFormat="1" applyFont="1" applyFill="1" applyBorder="1" applyAlignment="1">
      <alignment horizontal="right"/>
    </xf>
    <xf numFmtId="3" fontId="44" fillId="0" borderId="84" xfId="409" applyNumberFormat="1" applyFont="1" applyFill="1" applyBorder="1" applyAlignment="1">
      <alignment horizontal="right"/>
    </xf>
    <xf numFmtId="3" fontId="44" fillId="0" borderId="198" xfId="409" applyNumberFormat="1" applyFont="1" applyFill="1" applyBorder="1" applyAlignment="1">
      <alignment horizontal="right"/>
    </xf>
    <xf numFmtId="3" fontId="44" fillId="0" borderId="107" xfId="409" applyNumberFormat="1" applyFont="1" applyFill="1" applyBorder="1" applyAlignment="1">
      <alignment horizontal="right"/>
    </xf>
    <xf numFmtId="0" fontId="36" fillId="0" borderId="126" xfId="569" applyFont="1" applyBorder="1"/>
    <xf numFmtId="3" fontId="36" fillId="0" borderId="252" xfId="569" applyNumberFormat="1" applyFont="1" applyBorder="1" applyAlignment="1">
      <alignment horizontal="right"/>
    </xf>
    <xf numFmtId="3" fontId="36" fillId="0" borderId="198" xfId="569" applyNumberFormat="1" applyFont="1" applyFill="1" applyBorder="1" applyAlignment="1">
      <alignment horizontal="right"/>
    </xf>
    <xf numFmtId="3" fontId="36" fillId="0" borderId="115" xfId="569" applyNumberFormat="1" applyFont="1" applyFill="1" applyBorder="1" applyAlignment="1">
      <alignment horizontal="right"/>
    </xf>
    <xf numFmtId="3" fontId="44" fillId="0" borderId="115" xfId="409" applyNumberFormat="1" applyFont="1" applyFill="1" applyBorder="1" applyAlignment="1">
      <alignment horizontal="right"/>
    </xf>
    <xf numFmtId="3" fontId="44" fillId="0" borderId="119" xfId="409" applyNumberFormat="1" applyFont="1" applyFill="1" applyBorder="1" applyAlignment="1">
      <alignment horizontal="right"/>
    </xf>
    <xf numFmtId="3" fontId="44" fillId="0" borderId="94" xfId="409" applyNumberFormat="1" applyFont="1" applyBorder="1" applyAlignment="1">
      <alignment horizontal="right"/>
    </xf>
    <xf numFmtId="3" fontId="44" fillId="0" borderId="230" xfId="409" applyNumberFormat="1" applyFont="1" applyBorder="1" applyAlignment="1">
      <alignment horizontal="right"/>
    </xf>
    <xf numFmtId="0" fontId="36" fillId="0" borderId="200" xfId="569" applyFont="1" applyFill="1" applyBorder="1"/>
    <xf numFmtId="3" fontId="44" fillId="0" borderId="145" xfId="409" applyNumberFormat="1" applyFont="1" applyFill="1" applyBorder="1" applyAlignment="1">
      <alignment horizontal="right"/>
    </xf>
    <xf numFmtId="3" fontId="44" fillId="0" borderId="144" xfId="409" applyNumberFormat="1" applyFont="1" applyFill="1" applyBorder="1" applyAlignment="1">
      <alignment horizontal="right"/>
    </xf>
    <xf numFmtId="3" fontId="44" fillId="0" borderId="147" xfId="409" applyNumberFormat="1" applyFont="1" applyFill="1" applyBorder="1" applyAlignment="1">
      <alignment horizontal="right"/>
    </xf>
    <xf numFmtId="3" fontId="44" fillId="0" borderId="261" xfId="409" applyNumberFormat="1" applyFont="1" applyFill="1" applyBorder="1" applyAlignment="1">
      <alignment horizontal="right"/>
    </xf>
    <xf numFmtId="3" fontId="44" fillId="0" borderId="178" xfId="409" applyNumberFormat="1" applyFont="1" applyFill="1" applyBorder="1" applyAlignment="1">
      <alignment horizontal="right"/>
    </xf>
    <xf numFmtId="3" fontId="118" fillId="0" borderId="64" xfId="409" applyNumberFormat="1" applyFont="1" applyFill="1" applyBorder="1" applyAlignment="1">
      <alignment horizontal="left"/>
    </xf>
    <xf numFmtId="3" fontId="44" fillId="0" borderId="117" xfId="409" applyNumberFormat="1" applyFont="1" applyFill="1" applyBorder="1" applyAlignment="1">
      <alignment horizontal="right"/>
    </xf>
    <xf numFmtId="3" fontId="44" fillId="0" borderId="128" xfId="409" applyNumberFormat="1" applyFont="1" applyFill="1" applyBorder="1" applyAlignment="1">
      <alignment horizontal="right"/>
    </xf>
    <xf numFmtId="3" fontId="118" fillId="0" borderId="91" xfId="409" applyNumberFormat="1" applyFont="1" applyFill="1" applyBorder="1" applyAlignment="1">
      <alignment horizontal="left"/>
    </xf>
    <xf numFmtId="3" fontId="44" fillId="0" borderId="189" xfId="409" applyNumberFormat="1" applyFont="1" applyFill="1" applyBorder="1" applyAlignment="1">
      <alignment horizontal="right"/>
    </xf>
    <xf numFmtId="3" fontId="118" fillId="0" borderId="189" xfId="409" applyNumberFormat="1" applyFont="1" applyFill="1" applyBorder="1" applyAlignment="1">
      <alignment horizontal="left"/>
    </xf>
    <xf numFmtId="3" fontId="44" fillId="0" borderId="358" xfId="409" applyNumberFormat="1" applyFont="1" applyFill="1" applyBorder="1" applyAlignment="1">
      <alignment horizontal="right"/>
    </xf>
    <xf numFmtId="3" fontId="36" fillId="0" borderId="252" xfId="569" applyNumberFormat="1" applyFont="1" applyFill="1" applyBorder="1" applyAlignment="1">
      <alignment horizontal="center"/>
    </xf>
    <xf numFmtId="3" fontId="37" fillId="0" borderId="252" xfId="569" applyNumberFormat="1" applyFont="1" applyFill="1" applyBorder="1" applyAlignment="1">
      <alignment horizontal="center"/>
    </xf>
    <xf numFmtId="3" fontId="44" fillId="0" borderId="93" xfId="409" applyNumberFormat="1" applyFont="1" applyFill="1" applyBorder="1" applyAlignment="1">
      <alignment horizontal="right"/>
    </xf>
    <xf numFmtId="3" fontId="44" fillId="0" borderId="94" xfId="409" applyNumberFormat="1" applyFont="1" applyFill="1" applyBorder="1" applyAlignment="1">
      <alignment horizontal="right"/>
    </xf>
    <xf numFmtId="3" fontId="44" fillId="0" borderId="230" xfId="409" applyNumberFormat="1" applyFont="1" applyFill="1" applyBorder="1" applyAlignment="1">
      <alignment horizontal="right"/>
    </xf>
    <xf numFmtId="3" fontId="44" fillId="0" borderId="227" xfId="409" applyNumberFormat="1" applyFont="1" applyFill="1" applyBorder="1" applyAlignment="1">
      <alignment horizontal="right"/>
    </xf>
    <xf numFmtId="3" fontId="44" fillId="0" borderId="355" xfId="409" applyNumberFormat="1" applyFont="1" applyFill="1" applyBorder="1" applyAlignment="1">
      <alignment horizontal="right"/>
    </xf>
    <xf numFmtId="3" fontId="44" fillId="0" borderId="267" xfId="409" applyNumberFormat="1" applyFont="1" applyFill="1" applyBorder="1" applyAlignment="1">
      <alignment horizontal="right"/>
    </xf>
    <xf numFmtId="3" fontId="44" fillId="0" borderId="359" xfId="409" applyNumberFormat="1" applyFont="1" applyFill="1" applyBorder="1" applyAlignment="1">
      <alignment horizontal="right"/>
    </xf>
    <xf numFmtId="3" fontId="44" fillId="0" borderId="262" xfId="409" applyNumberFormat="1" applyFont="1" applyFill="1" applyBorder="1" applyAlignment="1">
      <alignment horizontal="right"/>
    </xf>
    <xf numFmtId="3" fontId="44" fillId="0" borderId="101" xfId="409" applyNumberFormat="1" applyFont="1" applyFill="1" applyBorder="1" applyAlignment="1">
      <alignment horizontal="right"/>
    </xf>
    <xf numFmtId="3" fontId="44" fillId="0" borderId="234" xfId="409" applyNumberFormat="1" applyFont="1" applyFill="1" applyBorder="1" applyAlignment="1">
      <alignment horizontal="right"/>
    </xf>
    <xf numFmtId="3" fontId="36" fillId="0" borderId="177" xfId="569" applyNumberFormat="1" applyFont="1" applyFill="1" applyBorder="1" applyAlignment="1">
      <alignment horizontal="right"/>
    </xf>
    <xf numFmtId="3" fontId="36" fillId="0" borderId="175" xfId="569" applyNumberFormat="1" applyFont="1" applyFill="1" applyBorder="1" applyAlignment="1">
      <alignment horizontal="right"/>
    </xf>
    <xf numFmtId="3" fontId="36" fillId="0" borderId="175" xfId="569" applyNumberFormat="1" applyFont="1" applyFill="1" applyBorder="1"/>
    <xf numFmtId="171" fontId="44" fillId="47" borderId="278" xfId="409" applyNumberFormat="1" applyFont="1" applyFill="1" applyBorder="1" applyAlignment="1">
      <alignment horizontal="center"/>
    </xf>
    <xf numFmtId="171" fontId="44" fillId="45" borderId="145" xfId="409" applyNumberFormat="1" applyFont="1" applyFill="1" applyBorder="1" applyAlignment="1">
      <alignment horizontal="center"/>
    </xf>
    <xf numFmtId="171" fontId="44" fillId="47" borderId="144" xfId="409" applyNumberFormat="1" applyFont="1" applyFill="1" applyBorder="1" applyAlignment="1">
      <alignment horizontal="center"/>
    </xf>
    <xf numFmtId="171" fontId="44" fillId="46" borderId="144" xfId="409" applyNumberFormat="1" applyFont="1" applyFill="1" applyBorder="1" applyAlignment="1">
      <alignment horizontal="center"/>
    </xf>
    <xf numFmtId="171" fontId="44" fillId="49" borderId="144" xfId="409" applyNumberFormat="1" applyFont="1" applyFill="1" applyBorder="1" applyAlignment="1">
      <alignment horizontal="center"/>
    </xf>
    <xf numFmtId="171" fontId="44" fillId="49" borderId="145" xfId="409" applyNumberFormat="1" applyFont="1" applyFill="1" applyBorder="1" applyAlignment="1">
      <alignment horizontal="center"/>
    </xf>
    <xf numFmtId="3" fontId="44" fillId="0" borderId="177" xfId="409" applyNumberFormat="1" applyFont="1" applyFill="1" applyBorder="1"/>
    <xf numFmtId="3" fontId="44" fillId="0" borderId="173" xfId="409" applyNumberFormat="1" applyFont="1" applyFill="1" applyBorder="1"/>
    <xf numFmtId="3" fontId="44" fillId="0" borderId="91" xfId="409" applyNumberFormat="1" applyFont="1" applyFill="1" applyBorder="1"/>
    <xf numFmtId="3" fontId="44" fillId="0" borderId="91" xfId="409" applyNumberFormat="1" applyFont="1" applyFill="1" applyBorder="1" applyAlignment="1">
      <alignment horizontal="right" vertical="center"/>
    </xf>
    <xf numFmtId="3" fontId="44" fillId="0" borderId="111" xfId="409" applyNumberFormat="1" applyFont="1" applyFill="1" applyBorder="1" applyAlignment="1">
      <alignment horizontal="right" vertical="center"/>
    </xf>
    <xf numFmtId="3" fontId="44" fillId="0" borderId="198" xfId="409" applyNumberFormat="1" applyFont="1" applyFill="1" applyBorder="1" applyAlignment="1">
      <alignment horizontal="right" vertical="center"/>
    </xf>
    <xf numFmtId="3" fontId="44" fillId="0" borderId="178" xfId="409" applyNumberFormat="1" applyFont="1" applyFill="1" applyBorder="1" applyAlignment="1">
      <alignment horizontal="right" vertical="center"/>
    </xf>
    <xf numFmtId="171" fontId="44" fillId="45" borderId="268" xfId="409" applyNumberFormat="1" applyFont="1" applyFill="1" applyBorder="1" applyAlignment="1">
      <alignment horizontal="center"/>
    </xf>
    <xf numFmtId="171" fontId="44" fillId="45" borderId="194" xfId="409" applyNumberFormat="1" applyFont="1" applyFill="1" applyBorder="1" applyAlignment="1">
      <alignment horizontal="center" vertical="center"/>
    </xf>
    <xf numFmtId="171" fontId="44" fillId="47" borderId="194" xfId="409" applyNumberFormat="1" applyFont="1" applyFill="1" applyBorder="1" applyAlignment="1">
      <alignment horizontal="center"/>
    </xf>
    <xf numFmtId="171" fontId="44" fillId="45" borderId="148" xfId="409" applyNumberFormat="1" applyFont="1" applyFill="1" applyBorder="1" applyAlignment="1">
      <alignment horizontal="center"/>
    </xf>
    <xf numFmtId="3" fontId="44" fillId="0" borderId="111" xfId="409" applyNumberFormat="1" applyFont="1" applyFill="1" applyBorder="1"/>
    <xf numFmtId="3" fontId="44" fillId="55" borderId="91" xfId="409" applyNumberFormat="1" applyFont="1" applyFill="1" applyBorder="1"/>
    <xf numFmtId="3" fontId="44" fillId="0" borderId="261" xfId="409" applyNumberFormat="1" applyFont="1" applyFill="1" applyBorder="1"/>
    <xf numFmtId="3" fontId="44" fillId="0" borderId="174" xfId="409" applyNumberFormat="1" applyFont="1" applyFill="1" applyBorder="1"/>
    <xf numFmtId="3" fontId="44" fillId="0" borderId="360" xfId="409" applyNumberFormat="1" applyFont="1" applyFill="1" applyBorder="1"/>
    <xf numFmtId="3" fontId="44" fillId="0" borderId="180" xfId="409" applyNumberFormat="1" applyFont="1" applyFill="1" applyBorder="1"/>
    <xf numFmtId="3" fontId="44" fillId="0" borderId="179" xfId="409" applyNumberFormat="1" applyFont="1" applyFill="1" applyBorder="1"/>
    <xf numFmtId="3" fontId="44" fillId="0" borderId="21" xfId="409" applyNumberFormat="1" applyFont="1" applyFill="1" applyBorder="1"/>
    <xf numFmtId="3" fontId="44" fillId="0" borderId="109" xfId="409" applyNumberFormat="1" applyFont="1" applyFill="1" applyBorder="1"/>
    <xf numFmtId="3" fontId="44" fillId="0" borderId="175" xfId="409" applyNumberFormat="1" applyFont="1" applyFill="1" applyBorder="1"/>
    <xf numFmtId="3" fontId="44" fillId="0" borderId="138" xfId="409" applyNumberFormat="1" applyFont="1" applyFill="1" applyBorder="1"/>
    <xf numFmtId="3" fontId="44" fillId="0" borderId="84" xfId="409" applyNumberFormat="1" applyFont="1" applyFill="1" applyBorder="1"/>
    <xf numFmtId="3" fontId="44" fillId="0" borderId="198" xfId="409" applyNumberFormat="1" applyFont="1" applyFill="1" applyBorder="1"/>
    <xf numFmtId="3" fontId="86" fillId="47" borderId="0" xfId="569" applyNumberFormat="1" applyFont="1" applyFill="1" applyBorder="1"/>
    <xf numFmtId="3" fontId="86" fillId="47" borderId="117" xfId="569" applyNumberFormat="1" applyFont="1" applyFill="1" applyBorder="1"/>
    <xf numFmtId="3" fontId="86" fillId="47" borderId="84" xfId="569" applyNumberFormat="1" applyFont="1" applyFill="1" applyBorder="1"/>
    <xf numFmtId="3" fontId="86" fillId="47" borderId="107" xfId="569" applyNumberFormat="1" applyFont="1" applyFill="1" applyBorder="1"/>
    <xf numFmtId="3" fontId="86" fillId="0" borderId="261" xfId="569" applyNumberFormat="1" applyFont="1" applyFill="1" applyBorder="1"/>
    <xf numFmtId="3" fontId="86" fillId="0" borderId="183" xfId="569" applyNumberFormat="1" applyFont="1" applyFill="1" applyBorder="1"/>
    <xf numFmtId="3" fontId="86" fillId="0" borderId="137" xfId="569" applyNumberFormat="1" applyFont="1" applyFill="1" applyBorder="1"/>
    <xf numFmtId="3" fontId="86" fillId="0" borderId="200" xfId="569" applyNumberFormat="1" applyFont="1" applyFill="1" applyBorder="1"/>
    <xf numFmtId="171" fontId="44" fillId="45" borderId="91" xfId="409" applyNumberFormat="1" applyFont="1" applyFill="1" applyBorder="1" applyAlignment="1">
      <alignment horizontal="center"/>
    </xf>
    <xf numFmtId="171" fontId="44" fillId="45" borderId="109" xfId="409" applyNumberFormat="1" applyFont="1" applyFill="1" applyBorder="1" applyAlignment="1">
      <alignment horizontal="center"/>
    </xf>
    <xf numFmtId="0" fontId="0" fillId="0" borderId="110" xfId="0" applyBorder="1"/>
    <xf numFmtId="0" fontId="0" fillId="0" borderId="114" xfId="0" applyBorder="1"/>
    <xf numFmtId="171" fontId="44" fillId="61" borderId="160" xfId="409" applyNumberFormat="1" applyFont="1" applyFill="1" applyBorder="1" applyAlignment="1">
      <alignment horizontal="center"/>
    </xf>
    <xf numFmtId="171" fontId="44" fillId="45" borderId="84" xfId="409" applyNumberFormat="1" applyFont="1" applyFill="1" applyBorder="1" applyAlignment="1">
      <alignment horizontal="center"/>
    </xf>
    <xf numFmtId="171" fontId="44" fillId="45" borderId="107" xfId="409" applyNumberFormat="1" applyFont="1" applyFill="1" applyBorder="1" applyAlignment="1">
      <alignment horizontal="center"/>
    </xf>
    <xf numFmtId="171" fontId="44" fillId="45" borderId="115" xfId="409" applyNumberFormat="1" applyFont="1" applyFill="1" applyBorder="1" applyAlignment="1">
      <alignment horizontal="center"/>
    </xf>
    <xf numFmtId="171" fontId="44" fillId="46" borderId="91" xfId="409" applyNumberFormat="1" applyFont="1" applyFill="1" applyBorder="1" applyAlignment="1">
      <alignment horizontal="center"/>
    </xf>
    <xf numFmtId="171" fontId="44" fillId="46" borderId="204" xfId="409" applyNumberFormat="1" applyFont="1" applyFill="1" applyBorder="1" applyAlignment="1">
      <alignment horizontal="center"/>
    </xf>
    <xf numFmtId="171" fontId="44" fillId="47" borderId="111" xfId="409" applyNumberFormat="1" applyFont="1" applyFill="1" applyBorder="1" applyAlignment="1">
      <alignment horizontal="center"/>
    </xf>
    <xf numFmtId="171" fontId="44" fillId="47" borderId="91" xfId="409" applyNumberFormat="1" applyFont="1" applyFill="1" applyBorder="1" applyAlignment="1">
      <alignment horizontal="center"/>
    </xf>
    <xf numFmtId="171" fontId="44" fillId="45" borderId="204" xfId="409" applyNumberFormat="1" applyFont="1" applyFill="1" applyBorder="1" applyAlignment="1">
      <alignment horizontal="center"/>
    </xf>
    <xf numFmtId="171" fontId="44" fillId="45" borderId="138" xfId="409" applyNumberFormat="1" applyFont="1" applyFill="1" applyBorder="1" applyAlignment="1">
      <alignment horizontal="center"/>
    </xf>
    <xf numFmtId="171" fontId="44" fillId="47" borderId="84" xfId="409" applyNumberFormat="1" applyFont="1" applyFill="1" applyBorder="1" applyAlignment="1">
      <alignment horizontal="center"/>
    </xf>
    <xf numFmtId="171" fontId="44" fillId="47" borderId="109" xfId="409" applyNumberFormat="1" applyFont="1" applyFill="1" applyBorder="1" applyAlignment="1">
      <alignment horizontal="center"/>
    </xf>
    <xf numFmtId="171" fontId="44" fillId="47" borderId="107" xfId="409" applyNumberFormat="1" applyFont="1" applyFill="1" applyBorder="1" applyAlignment="1">
      <alignment horizontal="center"/>
    </xf>
    <xf numFmtId="171" fontId="44" fillId="45" borderId="111" xfId="409" applyNumberFormat="1" applyFont="1" applyFill="1" applyBorder="1" applyAlignment="1">
      <alignment horizontal="center"/>
    </xf>
    <xf numFmtId="171" fontId="50" fillId="59" borderId="159" xfId="409" applyNumberFormat="1" applyFont="1" applyFill="1" applyBorder="1" applyAlignment="1">
      <alignment horizontal="center"/>
    </xf>
    <xf numFmtId="171" fontId="44" fillId="59" borderId="108" xfId="409" applyNumberFormat="1" applyFont="1" applyFill="1" applyBorder="1" applyAlignment="1">
      <alignment horizontal="center"/>
    </xf>
    <xf numFmtId="49" fontId="101" fillId="31" borderId="197" xfId="0" applyNumberFormat="1" applyFont="1" applyFill="1" applyBorder="1" applyAlignment="1">
      <alignment horizontal="left"/>
    </xf>
    <xf numFmtId="49" fontId="101" fillId="31" borderId="155" xfId="0" applyNumberFormat="1" applyFont="1" applyFill="1" applyBorder="1" applyAlignment="1">
      <alignment horizontal="left"/>
    </xf>
    <xf numFmtId="49" fontId="101" fillId="31" borderId="205" xfId="0" applyNumberFormat="1" applyFont="1" applyFill="1" applyBorder="1" applyAlignment="1">
      <alignment horizontal="left"/>
    </xf>
    <xf numFmtId="0" fontId="29" fillId="3" borderId="97" xfId="0" applyFont="1" applyFill="1" applyBorder="1" applyAlignment="1">
      <alignment horizontal="left"/>
    </xf>
    <xf numFmtId="0" fontId="29" fillId="3" borderId="84" xfId="0" applyFont="1" applyFill="1" applyBorder="1" applyAlignment="1">
      <alignment horizontal="left"/>
    </xf>
    <xf numFmtId="0" fontId="29" fillId="3" borderId="110" xfId="0" applyFont="1" applyFill="1" applyBorder="1" applyAlignment="1">
      <alignment horizontal="left"/>
    </xf>
    <xf numFmtId="0" fontId="25" fillId="35" borderId="216" xfId="0" applyFont="1" applyFill="1" applyBorder="1" applyAlignment="1">
      <alignment horizontal="left"/>
    </xf>
    <xf numFmtId="0" fontId="25" fillId="35" borderId="119" xfId="0" applyFont="1" applyFill="1" applyBorder="1" applyAlignment="1">
      <alignment horizontal="left"/>
    </xf>
    <xf numFmtId="0" fontId="25" fillId="3" borderId="216" xfId="0" applyFont="1" applyFill="1" applyBorder="1" applyAlignment="1">
      <alignment horizontal="left"/>
    </xf>
    <xf numFmtId="0" fontId="25" fillId="3" borderId="119" xfId="0" applyFont="1" applyFill="1" applyBorder="1" applyAlignment="1">
      <alignment horizontal="left"/>
    </xf>
    <xf numFmtId="0" fontId="99" fillId="0" borderId="0" xfId="0" applyFont="1" applyFill="1" applyBorder="1" applyAlignment="1">
      <alignment horizontal="left"/>
    </xf>
    <xf numFmtId="3" fontId="101" fillId="0" borderId="0" xfId="0" applyNumberFormat="1" applyFont="1" applyFill="1" applyBorder="1" applyAlignment="1">
      <alignment horizontal="right"/>
    </xf>
    <xf numFmtId="49" fontId="25" fillId="31" borderId="0" xfId="0" applyNumberFormat="1" applyFont="1" applyFill="1" applyBorder="1" applyAlignment="1">
      <alignment horizontal="left"/>
    </xf>
    <xf numFmtId="49" fontId="100" fillId="0" borderId="97" xfId="0" applyNumberFormat="1" applyFont="1" applyBorder="1" applyAlignment="1">
      <alignment horizontal="left"/>
    </xf>
    <xf numFmtId="49" fontId="100" fillId="0" borderId="84" xfId="0" applyNumberFormat="1" applyFont="1" applyBorder="1" applyAlignment="1">
      <alignment horizontal="left"/>
    </xf>
    <xf numFmtId="49" fontId="100" fillId="0" borderId="110" xfId="0" applyNumberFormat="1" applyFont="1" applyBorder="1" applyAlignment="1">
      <alignment horizontal="left"/>
    </xf>
    <xf numFmtId="0" fontId="25" fillId="0" borderId="235" xfId="0" applyFont="1" applyBorder="1" applyAlignment="1">
      <alignment horizontal="center"/>
    </xf>
    <xf numFmtId="0" fontId="25" fillId="0" borderId="116" xfId="0" applyFont="1" applyBorder="1" applyAlignment="1">
      <alignment horizontal="center"/>
    </xf>
    <xf numFmtId="0" fontId="25" fillId="0" borderId="250" xfId="0" applyFont="1" applyBorder="1" applyAlignment="1">
      <alignment horizontal="center"/>
    </xf>
    <xf numFmtId="0" fontId="29" fillId="31" borderId="97" xfId="0" applyFont="1" applyFill="1" applyBorder="1" applyAlignment="1">
      <alignment horizontal="left"/>
    </xf>
    <xf numFmtId="0" fontId="29" fillId="31" borderId="84" xfId="0" applyFont="1" applyFill="1" applyBorder="1" applyAlignment="1">
      <alignment horizontal="left"/>
    </xf>
    <xf numFmtId="0" fontId="29" fillId="31" borderId="110" xfId="0" applyFont="1" applyFill="1" applyBorder="1" applyAlignment="1">
      <alignment horizontal="left"/>
    </xf>
    <xf numFmtId="0" fontId="100" fillId="0" borderId="117" xfId="0" applyFont="1" applyBorder="1" applyAlignment="1">
      <alignment horizontal="left" wrapText="1"/>
    </xf>
    <xf numFmtId="0" fontId="100" fillId="0" borderId="97" xfId="0" applyFont="1" applyBorder="1" applyAlignment="1">
      <alignment horizontal="justify" vertical="top"/>
    </xf>
    <xf numFmtId="0" fontId="100" fillId="0" borderId="80" xfId="0" applyFont="1" applyBorder="1" applyAlignment="1">
      <alignment horizontal="justify" vertical="top"/>
    </xf>
    <xf numFmtId="0" fontId="100" fillId="0" borderId="97" xfId="0" applyFont="1" applyBorder="1" applyAlignment="1">
      <alignment horizontal="left"/>
    </xf>
    <xf numFmtId="0" fontId="100" fillId="0" borderId="80" xfId="0" applyFont="1" applyBorder="1" applyAlignment="1">
      <alignment horizontal="left"/>
    </xf>
    <xf numFmtId="0" fontId="29" fillId="15" borderId="84" xfId="0" applyFont="1" applyFill="1" applyBorder="1" applyAlignment="1">
      <alignment horizontal="left"/>
    </xf>
    <xf numFmtId="0" fontId="100" fillId="0" borderId="97" xfId="0" applyFont="1" applyBorder="1" applyAlignment="1">
      <alignment horizontal="left" wrapText="1"/>
    </xf>
    <xf numFmtId="0" fontId="100" fillId="0" borderId="80" xfId="0" applyFont="1" applyBorder="1" applyAlignment="1">
      <alignment horizontal="left" wrapText="1"/>
    </xf>
    <xf numFmtId="0" fontId="25" fillId="35" borderId="307" xfId="0" applyFont="1" applyFill="1" applyBorder="1" applyAlignment="1">
      <alignment horizontal="left"/>
    </xf>
    <xf numFmtId="0" fontId="25" fillId="35" borderId="308" xfId="0" applyFont="1" applyFill="1" applyBorder="1" applyAlignment="1">
      <alignment horizontal="left"/>
    </xf>
    <xf numFmtId="0" fontId="25" fillId="3" borderId="91" xfId="0" applyFont="1" applyFill="1" applyBorder="1" applyAlignment="1">
      <alignment horizontal="left"/>
    </xf>
    <xf numFmtId="0" fontId="25" fillId="3" borderId="84" xfId="0" applyFont="1" applyFill="1" applyBorder="1" applyAlignment="1">
      <alignment horizontal="left"/>
    </xf>
    <xf numFmtId="0" fontId="25" fillId="3" borderId="110" xfId="0" applyFont="1" applyFill="1" applyBorder="1" applyAlignment="1">
      <alignment horizontal="left"/>
    </xf>
    <xf numFmtId="0" fontId="100" fillId="0" borderId="17" xfId="0" applyFont="1" applyBorder="1" applyAlignment="1">
      <alignment horizontal="left"/>
    </xf>
    <xf numFmtId="0" fontId="100" fillId="0" borderId="34" xfId="0" applyFont="1" applyBorder="1" applyAlignment="1">
      <alignment horizontal="left"/>
    </xf>
    <xf numFmtId="0" fontId="25" fillId="35" borderId="120" xfId="0" applyFont="1" applyFill="1" applyBorder="1" applyAlignment="1">
      <alignment horizontal="left"/>
    </xf>
    <xf numFmtId="0" fontId="27" fillId="0" borderId="84" xfId="0" applyFont="1" applyBorder="1" applyAlignment="1">
      <alignment horizontal="left"/>
    </xf>
    <xf numFmtId="0" fontId="100" fillId="0" borderId="84" xfId="0" applyFont="1" applyBorder="1" applyAlignment="1">
      <alignment horizontal="left" wrapText="1"/>
    </xf>
    <xf numFmtId="0" fontId="100" fillId="0" borderId="98" xfId="0" applyFont="1" applyBorder="1" applyAlignment="1">
      <alignment horizontal="left" vertical="top" wrapText="1"/>
    </xf>
    <xf numFmtId="0" fontId="100" fillId="0" borderId="0" xfId="0" applyFont="1" applyBorder="1" applyAlignment="1">
      <alignment horizontal="left" vertical="top" wrapText="1"/>
    </xf>
    <xf numFmtId="49" fontId="29" fillId="15" borderId="84" xfId="0" applyNumberFormat="1" applyFont="1" applyFill="1" applyBorder="1" applyAlignment="1">
      <alignment horizontal="left"/>
    </xf>
    <xf numFmtId="0" fontId="100" fillId="0" borderId="98" xfId="0" applyFont="1" applyBorder="1" applyAlignment="1">
      <alignment horizontal="justify" vertical="top"/>
    </xf>
    <xf numFmtId="0" fontId="100" fillId="0" borderId="55" xfId="0" applyFont="1" applyBorder="1" applyAlignment="1">
      <alignment horizontal="justify" vertical="top"/>
    </xf>
    <xf numFmtId="0" fontId="100" fillId="0" borderId="170" xfId="0" applyFont="1" applyFill="1" applyBorder="1" applyAlignment="1">
      <alignment horizontal="justify" vertical="top"/>
    </xf>
    <xf numFmtId="0" fontId="100" fillId="0" borderId="199" xfId="0" applyFont="1" applyFill="1" applyBorder="1" applyAlignment="1">
      <alignment horizontal="justify" vertical="top"/>
    </xf>
    <xf numFmtId="0" fontId="100" fillId="0" borderId="310" xfId="0" applyFont="1" applyBorder="1" applyAlignment="1">
      <alignment horizontal="justify" vertical="top"/>
    </xf>
    <xf numFmtId="0" fontId="100" fillId="0" borderId="193" xfId="0" applyFont="1" applyBorder="1" applyAlignment="1">
      <alignment horizontal="justify" vertical="top"/>
    </xf>
    <xf numFmtId="0" fontId="100" fillId="0" borderId="170" xfId="0" applyFont="1" applyBorder="1" applyAlignment="1">
      <alignment horizontal="justify" vertical="top"/>
    </xf>
    <xf numFmtId="0" fontId="100" fillId="0" borderId="199" xfId="0" applyFont="1" applyBorder="1" applyAlignment="1">
      <alignment horizontal="justify" vertical="top"/>
    </xf>
    <xf numFmtId="0" fontId="25" fillId="35" borderId="91" xfId="0" applyFont="1" applyFill="1" applyBorder="1" applyAlignment="1">
      <alignment horizontal="left"/>
    </xf>
    <xf numFmtId="0" fontId="25" fillId="35" borderId="84" xfId="0" applyFont="1" applyFill="1" applyBorder="1" applyAlignment="1">
      <alignment horizontal="left"/>
    </xf>
    <xf numFmtId="0" fontId="25" fillId="35" borderId="110" xfId="0" applyFont="1" applyFill="1" applyBorder="1" applyAlignment="1">
      <alignment horizontal="left"/>
    </xf>
    <xf numFmtId="0" fontId="100" fillId="0" borderId="97" xfId="0" applyFont="1" applyBorder="1" applyAlignment="1">
      <alignment horizontal="left" vertical="top" wrapText="1"/>
    </xf>
    <xf numFmtId="0" fontId="100" fillId="0" borderId="84" xfId="0" applyFont="1" applyBorder="1" applyAlignment="1">
      <alignment horizontal="left" vertical="top" wrapText="1"/>
    </xf>
    <xf numFmtId="0" fontId="100" fillId="0" borderId="309" xfId="0" applyFont="1" applyBorder="1" applyAlignment="1">
      <alignment horizontal="left" vertical="top" wrapText="1"/>
    </xf>
    <xf numFmtId="0" fontId="100" fillId="0" borderId="249" xfId="0" applyFont="1" applyBorder="1" applyAlignment="1">
      <alignment horizontal="left" wrapText="1"/>
    </xf>
    <xf numFmtId="0" fontId="100" fillId="0" borderId="306" xfId="0" applyFont="1" applyBorder="1" applyAlignment="1">
      <alignment horizontal="left" wrapText="1"/>
    </xf>
    <xf numFmtId="0" fontId="100" fillId="0" borderId="249" xfId="0" applyFont="1" applyBorder="1" applyAlignment="1">
      <alignment horizontal="left"/>
    </xf>
    <xf numFmtId="0" fontId="100" fillId="0" borderId="306" xfId="0" applyFont="1" applyBorder="1" applyAlignment="1">
      <alignment horizontal="left"/>
    </xf>
    <xf numFmtId="0" fontId="24" fillId="0" borderId="0" xfId="0" applyFont="1" applyBorder="1" applyAlignment="1">
      <alignment horizontal="center"/>
    </xf>
    <xf numFmtId="0" fontId="29" fillId="3" borderId="197" xfId="0" applyFont="1" applyFill="1" applyBorder="1" applyAlignment="1">
      <alignment horizontal="left"/>
    </xf>
    <xf numFmtId="0" fontId="29" fillId="3" borderId="155" xfId="0" applyFont="1" applyFill="1" applyBorder="1" applyAlignment="1">
      <alignment horizontal="left"/>
    </xf>
    <xf numFmtId="0" fontId="29" fillId="3" borderId="205" xfId="0" applyFont="1" applyFill="1" applyBorder="1" applyAlignment="1">
      <alignment horizontal="left"/>
    </xf>
    <xf numFmtId="0" fontId="99" fillId="44" borderId="170" xfId="0" applyFont="1" applyFill="1" applyBorder="1" applyAlignment="1">
      <alignment horizontal="left"/>
    </xf>
    <xf numFmtId="0" fontId="99" fillId="44" borderId="99" xfId="0" applyFont="1" applyFill="1" applyBorder="1" applyAlignment="1">
      <alignment horizontal="left"/>
    </xf>
    <xf numFmtId="0" fontId="99" fillId="44" borderId="294" xfId="0" applyFont="1" applyFill="1" applyBorder="1" applyAlignment="1">
      <alignment horizontal="left"/>
    </xf>
    <xf numFmtId="0" fontId="100" fillId="0" borderId="17" xfId="0" applyFont="1" applyBorder="1" applyAlignment="1">
      <alignment horizontal="left" wrapText="1"/>
    </xf>
    <xf numFmtId="0" fontId="100" fillId="0" borderId="34" xfId="0" applyFont="1" applyBorder="1" applyAlignment="1">
      <alignment horizontal="left" wrapText="1"/>
    </xf>
    <xf numFmtId="49" fontId="25" fillId="4" borderId="0" xfId="0" applyNumberFormat="1" applyFont="1" applyFill="1" applyBorder="1" applyAlignment="1">
      <alignment horizontal="left"/>
    </xf>
    <xf numFmtId="0" fontId="25" fillId="35" borderId="137" xfId="0" applyFont="1" applyFill="1" applyBorder="1" applyAlignment="1">
      <alignment horizontal="left"/>
    </xf>
    <xf numFmtId="0" fontId="100" fillId="0" borderId="84" xfId="0" applyFont="1" applyBorder="1" applyAlignment="1">
      <alignment horizontal="justify" vertical="top"/>
    </xf>
    <xf numFmtId="0" fontId="100" fillId="0" borderId="110" xfId="0" applyFont="1" applyBorder="1" applyAlignment="1">
      <alignment horizontal="justify" vertical="top"/>
    </xf>
    <xf numFmtId="0" fontId="100" fillId="0" borderId="291" xfId="0" applyFont="1" applyBorder="1" applyAlignment="1">
      <alignment horizontal="justify" vertical="top"/>
    </xf>
    <xf numFmtId="0" fontId="100" fillId="0" borderId="23" xfId="0" applyFont="1" applyBorder="1" applyAlignment="1">
      <alignment horizontal="justify" vertical="top"/>
    </xf>
    <xf numFmtId="0" fontId="0" fillId="0" borderId="0" xfId="0"/>
    <xf numFmtId="0" fontId="43" fillId="4" borderId="0" xfId="569" applyFont="1" applyFill="1" applyBorder="1" applyAlignment="1">
      <alignment horizontal="center"/>
    </xf>
    <xf numFmtId="0" fontId="86" fillId="45" borderId="335" xfId="569" applyFont="1" applyFill="1" applyBorder="1" applyAlignment="1">
      <alignment horizontal="left"/>
    </xf>
    <xf numFmtId="0" fontId="86" fillId="45" borderId="336" xfId="569" applyFont="1" applyFill="1" applyBorder="1" applyAlignment="1">
      <alignment horizontal="left"/>
    </xf>
    <xf numFmtId="0" fontId="34" fillId="4" borderId="307" xfId="569" applyFont="1" applyFill="1" applyBorder="1" applyAlignment="1">
      <alignment horizontal="left"/>
    </xf>
    <xf numFmtId="0" fontId="34" fillId="4" borderId="319" xfId="569" applyFont="1" applyFill="1" applyBorder="1" applyAlignment="1">
      <alignment horizontal="left"/>
    </xf>
    <xf numFmtId="3" fontId="31" fillId="4" borderId="0" xfId="569" applyNumberFormat="1" applyFont="1" applyFill="1" applyBorder="1" applyAlignment="1">
      <alignment horizontal="center"/>
    </xf>
    <xf numFmtId="2" fontId="31" fillId="4" borderId="0" xfId="569" applyNumberFormat="1" applyFont="1" applyFill="1" applyBorder="1" applyAlignment="1">
      <alignment horizontal="center"/>
    </xf>
    <xf numFmtId="0" fontId="34" fillId="4" borderId="335" xfId="569" applyFont="1" applyFill="1" applyBorder="1" applyAlignment="1">
      <alignment horizontal="left"/>
    </xf>
    <xf numFmtId="0" fontId="34" fillId="4" borderId="336" xfId="569" applyFont="1" applyFill="1" applyBorder="1" applyAlignment="1">
      <alignment horizontal="left"/>
    </xf>
    <xf numFmtId="0" fontId="32" fillId="6" borderId="0" xfId="569" applyFont="1" applyFill="1" applyBorder="1" applyAlignment="1">
      <alignment horizontal="center"/>
    </xf>
    <xf numFmtId="0" fontId="32" fillId="0" borderId="0" xfId="569" applyFont="1" applyBorder="1" applyAlignment="1">
      <alignment horizontal="center"/>
    </xf>
    <xf numFmtId="0" fontId="80" fillId="4" borderId="335" xfId="569" applyFont="1" applyFill="1" applyBorder="1" applyAlignment="1">
      <alignment horizontal="left"/>
    </xf>
    <xf numFmtId="0" fontId="80" fillId="4" borderId="336" xfId="569" applyFont="1" applyFill="1" applyBorder="1" applyAlignment="1">
      <alignment horizontal="left"/>
    </xf>
    <xf numFmtId="0" fontId="0" fillId="9" borderId="27" xfId="0" applyFont="1" applyFill="1" applyBorder="1" applyAlignment="1">
      <alignment horizontal="center" vertical="center"/>
    </xf>
    <xf numFmtId="0" fontId="0" fillId="9" borderId="48" xfId="0" applyFont="1" applyFill="1" applyBorder="1" applyAlignment="1">
      <alignment horizontal="center" vertical="center"/>
    </xf>
    <xf numFmtId="0" fontId="44" fillId="9" borderId="225" xfId="0" applyFont="1" applyFill="1" applyBorder="1" applyAlignment="1">
      <alignment horizontal="center" vertical="center"/>
    </xf>
    <xf numFmtId="0" fontId="44" fillId="9" borderId="314" xfId="0" applyFont="1" applyFill="1" applyBorder="1" applyAlignment="1">
      <alignment horizontal="center" vertical="center"/>
    </xf>
    <xf numFmtId="49" fontId="53" fillId="10" borderId="55" xfId="0" applyNumberFormat="1" applyFont="1" applyFill="1" applyBorder="1" applyAlignment="1">
      <alignment horizontal="left"/>
    </xf>
    <xf numFmtId="0" fontId="50" fillId="27" borderId="346" xfId="0" applyFont="1" applyFill="1" applyBorder="1" applyAlignment="1">
      <alignment horizontal="left"/>
    </xf>
    <xf numFmtId="0" fontId="50" fillId="27" borderId="128" xfId="0" applyFont="1" applyFill="1" applyBorder="1" applyAlignment="1">
      <alignment horizontal="left"/>
    </xf>
    <xf numFmtId="0" fontId="50" fillId="27" borderId="143" xfId="0" applyFont="1" applyFill="1" applyBorder="1" applyAlignment="1">
      <alignment horizontal="left"/>
    </xf>
    <xf numFmtId="0" fontId="44" fillId="8" borderId="91" xfId="0" applyFont="1" applyFill="1" applyBorder="1" applyAlignment="1">
      <alignment horizontal="left"/>
    </xf>
    <xf numFmtId="0" fontId="44" fillId="8" borderId="194" xfId="0" applyFont="1" applyFill="1" applyBorder="1" applyAlignment="1">
      <alignment horizontal="left"/>
    </xf>
    <xf numFmtId="0" fontId="50" fillId="7" borderId="0" xfId="0" applyFont="1" applyFill="1" applyBorder="1" applyAlignment="1">
      <alignment horizontal="left"/>
    </xf>
    <xf numFmtId="0" fontId="52" fillId="15" borderId="52" xfId="0" applyFont="1" applyFill="1" applyBorder="1" applyAlignment="1">
      <alignment horizontal="left"/>
    </xf>
    <xf numFmtId="0" fontId="50" fillId="27" borderId="0" xfId="0" applyFont="1" applyFill="1" applyBorder="1" applyAlignment="1">
      <alignment horizontal="left"/>
    </xf>
    <xf numFmtId="0" fontId="52" fillId="15" borderId="56" xfId="0" applyFont="1" applyFill="1" applyBorder="1" applyAlignment="1">
      <alignment horizontal="left"/>
    </xf>
    <xf numFmtId="49" fontId="50" fillId="7" borderId="0" xfId="0" applyNumberFormat="1" applyFont="1" applyFill="1" applyBorder="1" applyAlignment="1">
      <alignment horizontal="left"/>
    </xf>
    <xf numFmtId="49" fontId="50" fillId="15" borderId="179" xfId="0" applyNumberFormat="1" applyFont="1" applyFill="1" applyBorder="1" applyAlignment="1">
      <alignment horizontal="left"/>
    </xf>
    <xf numFmtId="49" fontId="50" fillId="15" borderId="52" xfId="0" applyNumberFormat="1" applyFont="1" applyFill="1" applyBorder="1" applyAlignment="1">
      <alignment horizontal="left"/>
    </xf>
    <xf numFmtId="49" fontId="44" fillId="0" borderId="184" xfId="0" applyNumberFormat="1" applyFont="1" applyFill="1" applyBorder="1" applyAlignment="1">
      <alignment horizontal="left" wrapText="1"/>
    </xf>
    <xf numFmtId="49" fontId="44" fillId="0" borderId="123" xfId="0" applyNumberFormat="1" applyFont="1" applyFill="1" applyBorder="1" applyAlignment="1">
      <alignment horizontal="left" wrapText="1"/>
    </xf>
    <xf numFmtId="49" fontId="55" fillId="3" borderId="0" xfId="0" applyNumberFormat="1" applyFont="1" applyFill="1" applyBorder="1" applyAlignment="1">
      <alignment horizontal="left"/>
    </xf>
    <xf numFmtId="0" fontId="0" fillId="9" borderId="315" xfId="0" applyFont="1" applyFill="1" applyBorder="1" applyAlignment="1">
      <alignment horizontal="center" vertical="center"/>
    </xf>
    <xf numFmtId="0" fontId="0" fillId="9" borderId="316" xfId="0" applyFont="1" applyFill="1" applyBorder="1" applyAlignment="1">
      <alignment horizontal="center" vertical="center"/>
    </xf>
    <xf numFmtId="0" fontId="0" fillId="9" borderId="317" xfId="0" applyFont="1" applyFill="1" applyBorder="1" applyAlignment="1">
      <alignment horizontal="center" vertical="center"/>
    </xf>
    <xf numFmtId="0" fontId="44" fillId="0" borderId="200" xfId="0" applyFont="1" applyBorder="1" applyAlignment="1">
      <alignment horizontal="left"/>
    </xf>
    <xf numFmtId="49" fontId="50" fillId="27" borderId="0" xfId="0" applyNumberFormat="1" applyFont="1" applyFill="1" applyBorder="1" applyAlignment="1">
      <alignment horizontal="left"/>
    </xf>
    <xf numFmtId="49" fontId="53" fillId="34" borderId="80" xfId="0" applyNumberFormat="1" applyFont="1" applyFill="1" applyBorder="1" applyAlignment="1">
      <alignment horizontal="left"/>
    </xf>
    <xf numFmtId="49" fontId="53" fillId="34" borderId="84" xfId="0" applyNumberFormat="1" applyFont="1" applyFill="1" applyBorder="1" applyAlignment="1">
      <alignment horizontal="left"/>
    </xf>
    <xf numFmtId="49" fontId="53" fillId="34" borderId="81" xfId="0" applyNumberFormat="1" applyFont="1" applyFill="1" applyBorder="1" applyAlignment="1">
      <alignment horizontal="left"/>
    </xf>
    <xf numFmtId="49" fontId="52" fillId="26" borderId="80" xfId="0" applyNumberFormat="1" applyFont="1" applyFill="1" applyBorder="1" applyAlignment="1">
      <alignment horizontal="left"/>
    </xf>
    <xf numFmtId="49" fontId="52" fillId="26" borderId="84" xfId="0" applyNumberFormat="1" applyFont="1" applyFill="1" applyBorder="1" applyAlignment="1">
      <alignment horizontal="left"/>
    </xf>
    <xf numFmtId="49" fontId="52" fillId="26" borderId="81" xfId="0" applyNumberFormat="1" applyFont="1" applyFill="1" applyBorder="1" applyAlignment="1">
      <alignment horizontal="left"/>
    </xf>
    <xf numFmtId="0" fontId="0" fillId="0" borderId="24" xfId="0" applyBorder="1" applyAlignment="1">
      <alignment horizontal="center"/>
    </xf>
    <xf numFmtId="0" fontId="0" fillId="15" borderId="311" xfId="0" applyFont="1" applyFill="1" applyBorder="1" applyAlignment="1">
      <alignment horizontal="center"/>
    </xf>
    <xf numFmtId="0" fontId="0" fillId="3" borderId="311" xfId="0" applyFont="1" applyFill="1" applyBorder="1" applyAlignment="1">
      <alignment horizontal="center"/>
    </xf>
    <xf numFmtId="0" fontId="0" fillId="4" borderId="313" xfId="0" applyFont="1" applyFill="1" applyBorder="1" applyAlignment="1">
      <alignment horizontal="center"/>
    </xf>
    <xf numFmtId="0" fontId="6" fillId="10" borderId="74" xfId="0" applyFont="1" applyFill="1" applyBorder="1" applyAlignment="1">
      <alignment horizontal="center" vertical="center"/>
    </xf>
    <xf numFmtId="0" fontId="6" fillId="10" borderId="73" xfId="0" applyFont="1" applyFill="1" applyBorder="1" applyAlignment="1">
      <alignment horizontal="center" vertical="center"/>
    </xf>
    <xf numFmtId="0" fontId="6" fillId="10" borderId="224" xfId="0" applyFont="1" applyFill="1" applyBorder="1" applyAlignment="1">
      <alignment horizontal="center" vertical="center"/>
    </xf>
    <xf numFmtId="0" fontId="6" fillId="10" borderId="307" xfId="0" applyFont="1" applyFill="1" applyBorder="1" applyAlignment="1">
      <alignment horizontal="center" vertical="center"/>
    </xf>
    <xf numFmtId="0" fontId="6" fillId="10" borderId="308" xfId="0" applyFont="1" applyFill="1" applyBorder="1" applyAlignment="1">
      <alignment horizontal="center" vertical="center"/>
    </xf>
    <xf numFmtId="0" fontId="6" fillId="10" borderId="213" xfId="0" applyFont="1" applyFill="1" applyBorder="1" applyAlignment="1">
      <alignment horizontal="center" vertical="center"/>
    </xf>
    <xf numFmtId="0" fontId="0" fillId="4" borderId="31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55" fillId="7" borderId="25" xfId="0" applyFont="1" applyFill="1" applyBorder="1" applyAlignment="1">
      <alignment horizontal="left"/>
    </xf>
    <xf numFmtId="0" fontId="0" fillId="15" borderId="312" xfId="0" applyFont="1" applyFill="1" applyBorder="1" applyAlignment="1">
      <alignment horizontal="center"/>
    </xf>
    <xf numFmtId="0" fontId="74" fillId="40" borderId="0" xfId="569" applyFont="1" applyFill="1" applyBorder="1" applyAlignment="1">
      <alignment horizontal="center"/>
    </xf>
    <xf numFmtId="49" fontId="36" fillId="40" borderId="0" xfId="569" applyNumberFormat="1" applyFont="1" applyFill="1" applyBorder="1" applyAlignment="1">
      <alignment horizontal="center"/>
    </xf>
    <xf numFmtId="0" fontId="108" fillId="40" borderId="0" xfId="569" applyFont="1" applyFill="1" applyBorder="1" applyAlignment="1">
      <alignment horizontal="center"/>
    </xf>
    <xf numFmtId="0" fontId="109" fillId="40" borderId="0" xfId="569" applyFont="1" applyFill="1" applyBorder="1" applyAlignment="1">
      <alignment horizontal="center"/>
    </xf>
    <xf numFmtId="0" fontId="71" fillId="40" borderId="0" xfId="569" applyFont="1" applyFill="1" applyBorder="1" applyAlignment="1">
      <alignment horizontal="center"/>
    </xf>
    <xf numFmtId="0" fontId="38" fillId="0" borderId="195" xfId="569" applyFont="1" applyFill="1" applyBorder="1" applyAlignment="1">
      <alignment horizontal="center" vertical="top"/>
    </xf>
    <xf numFmtId="0" fontId="38" fillId="0" borderId="318" xfId="569" applyFont="1" applyFill="1" applyBorder="1" applyAlignment="1">
      <alignment horizontal="center" vertical="top"/>
    </xf>
    <xf numFmtId="0" fontId="38" fillId="0" borderId="95" xfId="569" applyFont="1" applyFill="1" applyBorder="1" applyAlignment="1">
      <alignment horizontal="center" vertical="top"/>
    </xf>
    <xf numFmtId="0" fontId="38" fillId="0" borderId="305" xfId="569" applyFont="1" applyFill="1" applyBorder="1" applyAlignment="1">
      <alignment horizontal="center" vertical="top"/>
    </xf>
    <xf numFmtId="0" fontId="93" fillId="0" borderId="95" xfId="569" applyFont="1" applyFill="1" applyBorder="1" applyAlignment="1">
      <alignment horizontal="center" vertical="top"/>
    </xf>
    <xf numFmtId="0" fontId="93" fillId="0" borderId="305" xfId="569" applyFont="1" applyFill="1" applyBorder="1" applyAlignment="1">
      <alignment horizontal="center" vertical="top"/>
    </xf>
    <xf numFmtId="49" fontId="36" fillId="0" borderId="127" xfId="569" applyNumberFormat="1" applyFont="1" applyFill="1" applyBorder="1" applyAlignment="1">
      <alignment horizontal="center"/>
    </xf>
    <xf numFmtId="0" fontId="38" fillId="0" borderId="96" xfId="569" applyFont="1" applyFill="1" applyBorder="1" applyAlignment="1">
      <alignment horizontal="center" vertical="top"/>
    </xf>
    <xf numFmtId="0" fontId="38" fillId="0" borderId="323" xfId="569" applyFont="1" applyFill="1" applyBorder="1" applyAlignment="1">
      <alignment horizontal="center" vertical="top"/>
    </xf>
    <xf numFmtId="0" fontId="44" fillId="0" borderId="0" xfId="0" applyFont="1"/>
    <xf numFmtId="0" fontId="74" fillId="0" borderId="97" xfId="569" applyFont="1" applyFill="1" applyBorder="1" applyAlignment="1">
      <alignment horizontal="center"/>
    </xf>
    <xf numFmtId="0" fontId="74" fillId="0" borderId="110" xfId="569" applyFont="1" applyFill="1" applyBorder="1" applyAlignment="1">
      <alignment horizontal="center"/>
    </xf>
    <xf numFmtId="0" fontId="38" fillId="0" borderId="95" xfId="569" applyFont="1" applyFill="1" applyBorder="1" applyAlignment="1">
      <alignment horizontal="center"/>
    </xf>
    <xf numFmtId="0" fontId="38" fillId="0" borderId="305" xfId="569" applyFont="1" applyFill="1" applyBorder="1" applyAlignment="1">
      <alignment horizontal="center"/>
    </xf>
    <xf numFmtId="0" fontId="74" fillId="0" borderId="195" xfId="569" applyFont="1" applyFill="1" applyBorder="1" applyAlignment="1">
      <alignment horizontal="center"/>
    </xf>
    <xf numFmtId="0" fontId="74" fillId="0" borderId="318" xfId="569" applyFont="1" applyFill="1" applyBorder="1" applyAlignment="1">
      <alignment horizontal="center"/>
    </xf>
    <xf numFmtId="0" fontId="108" fillId="0" borderId="97" xfId="569" applyFont="1" applyFill="1" applyBorder="1" applyAlignment="1">
      <alignment horizontal="center"/>
    </xf>
    <xf numFmtId="0" fontId="108" fillId="0" borderId="110" xfId="569" applyFont="1" applyFill="1" applyBorder="1" applyAlignment="1">
      <alignment horizontal="center"/>
    </xf>
    <xf numFmtId="0" fontId="109" fillId="0" borderId="97" xfId="569" applyFont="1" applyFill="1" applyBorder="1" applyAlignment="1">
      <alignment horizontal="center"/>
    </xf>
    <xf numFmtId="0" fontId="109" fillId="0" borderId="110" xfId="569" applyFont="1" applyFill="1" applyBorder="1" applyAlignment="1">
      <alignment horizontal="center"/>
    </xf>
    <xf numFmtId="0" fontId="74" fillId="0" borderId="95" xfId="569" applyFont="1" applyFill="1" applyBorder="1" applyAlignment="1">
      <alignment horizontal="center"/>
    </xf>
    <xf numFmtId="0" fontId="74" fillId="0" borderId="305" xfId="569" applyFont="1" applyFill="1" applyBorder="1" applyAlignment="1">
      <alignment horizontal="center"/>
    </xf>
    <xf numFmtId="49" fontId="36" fillId="0" borderId="254" xfId="569" applyNumberFormat="1" applyFont="1" applyFill="1" applyBorder="1" applyAlignment="1">
      <alignment horizontal="center"/>
    </xf>
    <xf numFmtId="0" fontId="86" fillId="30" borderId="327" xfId="571" applyFont="1" applyFill="1" applyBorder="1" applyAlignment="1">
      <alignment horizontal="left"/>
    </xf>
    <xf numFmtId="0" fontId="86" fillId="30" borderId="328" xfId="571" applyFont="1" applyFill="1" applyBorder="1" applyAlignment="1">
      <alignment horizontal="left"/>
    </xf>
    <xf numFmtId="0" fontId="86" fillId="30" borderId="329" xfId="571" applyFont="1" applyFill="1" applyBorder="1" applyAlignment="1">
      <alignment horizontal="left"/>
    </xf>
    <xf numFmtId="49" fontId="36" fillId="0" borderId="152" xfId="569" applyNumberFormat="1" applyFont="1" applyFill="1" applyBorder="1" applyAlignment="1">
      <alignment horizontal="center"/>
    </xf>
    <xf numFmtId="49" fontId="36" fillId="0" borderId="201" xfId="569" applyNumberFormat="1" applyFont="1" applyFill="1" applyBorder="1" applyAlignment="1">
      <alignment horizontal="center" wrapText="1"/>
    </xf>
    <xf numFmtId="49" fontId="36" fillId="0" borderId="255" xfId="569" applyNumberFormat="1" applyFont="1" applyFill="1" applyBorder="1" applyAlignment="1">
      <alignment horizontal="center" wrapText="1"/>
    </xf>
    <xf numFmtId="0" fontId="108" fillId="0" borderId="127" xfId="569" applyFont="1" applyFill="1" applyBorder="1" applyAlignment="1">
      <alignment horizontal="center"/>
    </xf>
    <xf numFmtId="0" fontId="108" fillId="0" borderId="255" xfId="569" applyFont="1" applyFill="1" applyBorder="1" applyAlignment="1">
      <alignment horizontal="center"/>
    </xf>
    <xf numFmtId="49" fontId="36" fillId="0" borderId="137" xfId="569" applyNumberFormat="1" applyFont="1" applyFill="1" applyBorder="1" applyAlignment="1">
      <alignment horizontal="center" wrapText="1"/>
    </xf>
    <xf numFmtId="0" fontId="31" fillId="4" borderId="0" xfId="569" applyFont="1" applyFill="1" applyBorder="1" applyAlignment="1">
      <alignment horizontal="center"/>
    </xf>
    <xf numFmtId="0" fontId="35" fillId="4" borderId="127" xfId="569" applyFont="1" applyFill="1" applyBorder="1" applyAlignment="1">
      <alignment horizontal="left"/>
    </xf>
    <xf numFmtId="0" fontId="35" fillId="4" borderId="137" xfId="569" applyFont="1" applyFill="1" applyBorder="1" applyAlignment="1">
      <alignment horizontal="left"/>
    </xf>
    <xf numFmtId="0" fontId="36" fillId="0" borderId="195" xfId="569" applyFont="1" applyFill="1" applyBorder="1" applyAlignment="1">
      <alignment horizontal="center" vertical="top"/>
    </xf>
    <xf numFmtId="0" fontId="36" fillId="0" borderId="318" xfId="569" applyFont="1" applyFill="1" applyBorder="1" applyAlignment="1">
      <alignment horizontal="center" vertical="top"/>
    </xf>
    <xf numFmtId="0" fontId="36" fillId="0" borderId="96" xfId="569" applyFont="1" applyFill="1" applyBorder="1" applyAlignment="1">
      <alignment horizontal="center" vertical="top"/>
    </xf>
    <xf numFmtId="0" fontId="36" fillId="0" borderId="323" xfId="569" applyFont="1" applyFill="1" applyBorder="1" applyAlignment="1">
      <alignment horizontal="center" vertical="top"/>
    </xf>
    <xf numFmtId="0" fontId="36" fillId="0" borderId="95" xfId="569" applyFont="1" applyFill="1" applyBorder="1" applyAlignment="1">
      <alignment horizontal="center"/>
    </xf>
    <xf numFmtId="0" fontId="36" fillId="0" borderId="305" xfId="569" applyFont="1" applyFill="1" applyBorder="1" applyAlignment="1">
      <alignment horizontal="center"/>
    </xf>
    <xf numFmtId="0" fontId="128" fillId="0" borderId="137" xfId="569" applyFont="1" applyFill="1" applyBorder="1" applyAlignment="1">
      <alignment horizontal="center"/>
    </xf>
    <xf numFmtId="0" fontId="128" fillId="0" borderId="95" xfId="569" applyFont="1" applyFill="1" applyBorder="1" applyAlignment="1">
      <alignment horizontal="center"/>
    </xf>
    <xf numFmtId="0" fontId="128" fillId="0" borderId="305" xfId="569" applyFont="1" applyFill="1" applyBorder="1" applyAlignment="1">
      <alignment horizontal="center"/>
    </xf>
    <xf numFmtId="0" fontId="35" fillId="0" borderId="98" xfId="569" applyFont="1" applyFill="1" applyBorder="1" applyAlignment="1">
      <alignment horizontal="center"/>
    </xf>
    <xf numFmtId="0" fontId="35" fillId="0" borderId="196" xfId="569" applyFont="1" applyFill="1" applyBorder="1" applyAlignment="1">
      <alignment horizontal="center"/>
    </xf>
    <xf numFmtId="0" fontId="71" fillId="0" borderId="97" xfId="569" applyFont="1" applyFill="1" applyBorder="1" applyAlignment="1">
      <alignment horizontal="center"/>
    </xf>
    <xf numFmtId="0" fontId="71" fillId="0" borderId="110" xfId="569" applyFont="1" applyFill="1" applyBorder="1" applyAlignment="1">
      <alignment horizontal="center"/>
    </xf>
    <xf numFmtId="0" fontId="108" fillId="0" borderId="254" xfId="569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661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20% - Accent1" xfId="7"/>
    <cellStyle name="20% - Accent1 1" xfId="8"/>
    <cellStyle name="20% - Accent1 10" xfId="9"/>
    <cellStyle name="20% - Accent1 11" xfId="10"/>
    <cellStyle name="20% - Accent1 12" xfId="11"/>
    <cellStyle name="20% - Accent1 13" xfId="12"/>
    <cellStyle name="20% - Accent1 14" xfId="13"/>
    <cellStyle name="20% - Accent1 2" xfId="14"/>
    <cellStyle name="20% - Accent1 3" xfId="15"/>
    <cellStyle name="20% - Accent1 4" xfId="16"/>
    <cellStyle name="20% - Accent1 5" xfId="17"/>
    <cellStyle name="20% - Accent1 6" xfId="18"/>
    <cellStyle name="20% - Accent1 7" xfId="19"/>
    <cellStyle name="20% - Accent1 8" xfId="20"/>
    <cellStyle name="20% - Accent1 9" xfId="21"/>
    <cellStyle name="20% - Accent2" xfId="22"/>
    <cellStyle name="20% - Accent2 1" xfId="23"/>
    <cellStyle name="20% - Accent2 10" xfId="24"/>
    <cellStyle name="20% - Accent2 11" xfId="25"/>
    <cellStyle name="20% - Accent2 12" xfId="26"/>
    <cellStyle name="20% - Accent2 13" xfId="27"/>
    <cellStyle name="20% - Accent2 14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" xfId="37"/>
    <cellStyle name="20% - Accent3 1" xfId="38"/>
    <cellStyle name="20% - Accent3 10" xfId="39"/>
    <cellStyle name="20% - Accent3 11" xfId="40"/>
    <cellStyle name="20% - Accent3 12" xfId="41"/>
    <cellStyle name="20% - Accent3 13" xfId="42"/>
    <cellStyle name="20% - Accent3 14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" xfId="53"/>
    <cellStyle name="20% - Accent4 10" xfId="54"/>
    <cellStyle name="20% - Accent4 11" xfId="55"/>
    <cellStyle name="20% - Accent4 12" xfId="56"/>
    <cellStyle name="20% - Accent4 13" xfId="57"/>
    <cellStyle name="20% - Accent4 14" xfId="58"/>
    <cellStyle name="20% - Accent4 2" xfId="59"/>
    <cellStyle name="20% - Accent4 3" xfId="60"/>
    <cellStyle name="20% - Accent4 4" xfId="61"/>
    <cellStyle name="20% - Accent4 5" xfId="62"/>
    <cellStyle name="20% - Accent4 6" xfId="63"/>
    <cellStyle name="20% - Accent4 7" xfId="64"/>
    <cellStyle name="20% - Accent4 8" xfId="65"/>
    <cellStyle name="20% - Accent4 9" xfId="66"/>
    <cellStyle name="20% - Accent5" xfId="67"/>
    <cellStyle name="20% - Accent5 1" xfId="68"/>
    <cellStyle name="20% - Accent5 10" xfId="69"/>
    <cellStyle name="20% - Accent5 11" xfId="70"/>
    <cellStyle name="20% - Accent5 12" xfId="71"/>
    <cellStyle name="20% - Accent5 13" xfId="72"/>
    <cellStyle name="20% - Accent5 14" xfId="73"/>
    <cellStyle name="20% - Accent5 2" xfId="74"/>
    <cellStyle name="20% - Accent5 3" xfId="75"/>
    <cellStyle name="20% - Accent5 4" xfId="76"/>
    <cellStyle name="20% - Accent5 5" xfId="77"/>
    <cellStyle name="20% - Accent5 6" xfId="78"/>
    <cellStyle name="20% - Accent5 7" xfId="79"/>
    <cellStyle name="20% - Accent5 8" xfId="80"/>
    <cellStyle name="20% - Accent5 9" xfId="81"/>
    <cellStyle name="20% - Accent6" xfId="82"/>
    <cellStyle name="20% - Accent6 1" xfId="83"/>
    <cellStyle name="20% - Accent6 10" xfId="84"/>
    <cellStyle name="20% - Accent6 11" xfId="85"/>
    <cellStyle name="20% - Accent6 12" xfId="86"/>
    <cellStyle name="20% - Accent6 13" xfId="87"/>
    <cellStyle name="20% - Accent6 14" xfId="88"/>
    <cellStyle name="20% - Accent6 2" xfId="89"/>
    <cellStyle name="20% - Accent6 3" xfId="90"/>
    <cellStyle name="20% - Accent6 4" xfId="91"/>
    <cellStyle name="20% - Accent6 5" xfId="92"/>
    <cellStyle name="20% - Accent6 6" xfId="93"/>
    <cellStyle name="20% - Accent6 7" xfId="94"/>
    <cellStyle name="20% - Accent6 8" xfId="95"/>
    <cellStyle name="20% - Accent6 9" xfId="96"/>
    <cellStyle name="40 % - zvýraznenie1" xfId="97" builtinId="31" customBuiltin="1"/>
    <cellStyle name="40 % - zvýraznenie2" xfId="98" builtinId="35" customBuiltin="1"/>
    <cellStyle name="40 % - zvýraznenie3" xfId="99" builtinId="39" customBuiltin="1"/>
    <cellStyle name="40 % - zvýraznenie4" xfId="100" builtinId="43" customBuiltin="1"/>
    <cellStyle name="40 % - zvýraznenie5" xfId="101" builtinId="47" customBuiltin="1"/>
    <cellStyle name="40 % - zvýraznenie6" xfId="102" builtinId="51" customBuiltin="1"/>
    <cellStyle name="40% - Accent1" xfId="103"/>
    <cellStyle name="40% - Accent1 1" xfId="104"/>
    <cellStyle name="40% - Accent1 10" xfId="105"/>
    <cellStyle name="40% - Accent1 11" xfId="106"/>
    <cellStyle name="40% - Accent1 12" xfId="107"/>
    <cellStyle name="40% - Accent1 13" xfId="108"/>
    <cellStyle name="40% - Accent1 14" xfId="109"/>
    <cellStyle name="40% - Accent1 2" xfId="110"/>
    <cellStyle name="40% - Accent1 3" xfId="111"/>
    <cellStyle name="40% - Accent1 4" xfId="112"/>
    <cellStyle name="40% - Accent1 5" xfId="113"/>
    <cellStyle name="40% - Accent1 6" xfId="114"/>
    <cellStyle name="40% - Accent1 7" xfId="115"/>
    <cellStyle name="40% - Accent1 8" xfId="116"/>
    <cellStyle name="40% - Accent1 9" xfId="117"/>
    <cellStyle name="40% - Accent2" xfId="118"/>
    <cellStyle name="40% - Accent2 1" xfId="119"/>
    <cellStyle name="40% - Accent2 10" xfId="120"/>
    <cellStyle name="40% - Accent2 11" xfId="121"/>
    <cellStyle name="40% - Accent2 12" xfId="122"/>
    <cellStyle name="40% - Accent2 13" xfId="123"/>
    <cellStyle name="40% - Accent2 14" xfId="124"/>
    <cellStyle name="40% - Accent2 2" xfId="125"/>
    <cellStyle name="40% - Accent2 3" xfId="126"/>
    <cellStyle name="40% - Accent2 4" xfId="127"/>
    <cellStyle name="40% - Accent2 5" xfId="128"/>
    <cellStyle name="40% - Accent2 6" xfId="129"/>
    <cellStyle name="40% - Accent2 7" xfId="130"/>
    <cellStyle name="40% - Accent2 8" xfId="131"/>
    <cellStyle name="40% - Accent2 9" xfId="132"/>
    <cellStyle name="40% - Accent3" xfId="133"/>
    <cellStyle name="40% - Accent3 1" xfId="134"/>
    <cellStyle name="40% - Accent3 10" xfId="135"/>
    <cellStyle name="40% - Accent3 11" xfId="136"/>
    <cellStyle name="40% - Accent3 12" xfId="137"/>
    <cellStyle name="40% - Accent3 13" xfId="138"/>
    <cellStyle name="40% - Accent3 14" xfId="139"/>
    <cellStyle name="40% - Accent3 2" xfId="140"/>
    <cellStyle name="40% - Accent3 3" xfId="141"/>
    <cellStyle name="40% - Accent3 4" xfId="142"/>
    <cellStyle name="40% - Accent3 5" xfId="143"/>
    <cellStyle name="40% - Accent3 6" xfId="144"/>
    <cellStyle name="40% - Accent3 7" xfId="145"/>
    <cellStyle name="40% - Accent3 8" xfId="146"/>
    <cellStyle name="40% - Accent3 9" xfId="147"/>
    <cellStyle name="40% - Accent4" xfId="148"/>
    <cellStyle name="40% - Accent4 1" xfId="149"/>
    <cellStyle name="40% - Accent4 10" xfId="150"/>
    <cellStyle name="40% - Accent4 11" xfId="151"/>
    <cellStyle name="40% - Accent4 12" xfId="152"/>
    <cellStyle name="40% - Accent4 13" xfId="153"/>
    <cellStyle name="40% - Accent4 14" xfId="154"/>
    <cellStyle name="40% - Accent4 2" xfId="155"/>
    <cellStyle name="40% - Accent4 3" xfId="156"/>
    <cellStyle name="40% - Accent4 4" xfId="157"/>
    <cellStyle name="40% - Accent4 5" xfId="158"/>
    <cellStyle name="40% - Accent4 6" xfId="159"/>
    <cellStyle name="40% - Accent4 7" xfId="160"/>
    <cellStyle name="40% - Accent4 8" xfId="161"/>
    <cellStyle name="40% - Accent4 9" xfId="162"/>
    <cellStyle name="40% - Accent5" xfId="163"/>
    <cellStyle name="40% - Accent5 1" xfId="164"/>
    <cellStyle name="40% - Accent5 10" xfId="165"/>
    <cellStyle name="40% - Accent5 11" xfId="166"/>
    <cellStyle name="40% - Accent5 12" xfId="167"/>
    <cellStyle name="40% - Accent5 13" xfId="168"/>
    <cellStyle name="40% - Accent5 14" xfId="169"/>
    <cellStyle name="40% - Accent5 2" xfId="170"/>
    <cellStyle name="40% - Accent5 3" xfId="171"/>
    <cellStyle name="40% - Accent5 4" xfId="172"/>
    <cellStyle name="40% - Accent5 5" xfId="173"/>
    <cellStyle name="40% - Accent5 6" xfId="174"/>
    <cellStyle name="40% - Accent5 7" xfId="175"/>
    <cellStyle name="40% - Accent5 8" xfId="176"/>
    <cellStyle name="40% - Accent5 9" xfId="177"/>
    <cellStyle name="40% - Accent6" xfId="178"/>
    <cellStyle name="40% - Accent6 1" xfId="179"/>
    <cellStyle name="40% - Accent6 10" xfId="180"/>
    <cellStyle name="40% - Accent6 11" xfId="181"/>
    <cellStyle name="40% - Accent6 12" xfId="182"/>
    <cellStyle name="40% - Accent6 13" xfId="183"/>
    <cellStyle name="40% - Accent6 14" xfId="184"/>
    <cellStyle name="40% - Accent6 2" xfId="185"/>
    <cellStyle name="40% - Accent6 3" xfId="186"/>
    <cellStyle name="40% - Accent6 4" xfId="187"/>
    <cellStyle name="40% - Accent6 5" xfId="188"/>
    <cellStyle name="40% - Accent6 6" xfId="189"/>
    <cellStyle name="40% - Accent6 7" xfId="190"/>
    <cellStyle name="40% - Accent6 8" xfId="191"/>
    <cellStyle name="40% - Accent6 9" xfId="192"/>
    <cellStyle name="60 % - zvýraznenie1" xfId="193" builtinId="32" customBuiltin="1"/>
    <cellStyle name="60 % - zvýraznenie2" xfId="194" builtinId="36" customBuiltin="1"/>
    <cellStyle name="60 % - zvýraznenie3" xfId="195" builtinId="40" customBuiltin="1"/>
    <cellStyle name="60 % - zvýraznenie4" xfId="196" builtinId="44" customBuiltin="1"/>
    <cellStyle name="60 % - zvýraznenie5" xfId="197" builtinId="48" customBuiltin="1"/>
    <cellStyle name="60 % - zvýraznenie6" xfId="198" builtinId="52" customBuiltin="1"/>
    <cellStyle name="60% - Accent1" xfId="199"/>
    <cellStyle name="60% - Accent1 1" xfId="200"/>
    <cellStyle name="60% - Accent1 10" xfId="201"/>
    <cellStyle name="60% - Accent1 11" xfId="202"/>
    <cellStyle name="60% - Accent1 12" xfId="203"/>
    <cellStyle name="60% - Accent1 13" xfId="204"/>
    <cellStyle name="60% - Accent1 14" xfId="205"/>
    <cellStyle name="60% - Accent1 2" xfId="206"/>
    <cellStyle name="60% - Accent1 3" xfId="207"/>
    <cellStyle name="60% - Accent1 4" xfId="208"/>
    <cellStyle name="60% - Accent1 5" xfId="209"/>
    <cellStyle name="60% - Accent1 6" xfId="210"/>
    <cellStyle name="60% - Accent1 7" xfId="211"/>
    <cellStyle name="60% - Accent1 8" xfId="212"/>
    <cellStyle name="60% - Accent1 9" xfId="213"/>
    <cellStyle name="60% - Accent2" xfId="214"/>
    <cellStyle name="60% - Accent2 1" xfId="215"/>
    <cellStyle name="60% - Accent2 10" xfId="216"/>
    <cellStyle name="60% - Accent2 11" xfId="217"/>
    <cellStyle name="60% - Accent2 12" xfId="218"/>
    <cellStyle name="60% - Accent2 13" xfId="219"/>
    <cellStyle name="60% - Accent2 14" xfId="220"/>
    <cellStyle name="60% - Accent2 2" xfId="221"/>
    <cellStyle name="60% - Accent2 3" xfId="222"/>
    <cellStyle name="60% - Accent2 4" xfId="223"/>
    <cellStyle name="60% - Accent2 5" xfId="224"/>
    <cellStyle name="60% - Accent2 6" xfId="225"/>
    <cellStyle name="60% - Accent2 7" xfId="226"/>
    <cellStyle name="60% - Accent2 8" xfId="227"/>
    <cellStyle name="60% - Accent2 9" xfId="228"/>
    <cellStyle name="60% - Accent3" xfId="229"/>
    <cellStyle name="60% - Accent3 1" xfId="230"/>
    <cellStyle name="60% - Accent3 10" xfId="231"/>
    <cellStyle name="60% - Accent3 11" xfId="232"/>
    <cellStyle name="60% - Accent3 12" xfId="233"/>
    <cellStyle name="60% - Accent3 13" xfId="234"/>
    <cellStyle name="60% - Accent3 14" xfId="235"/>
    <cellStyle name="60% - Accent3 2" xfId="236"/>
    <cellStyle name="60% - Accent3 3" xfId="237"/>
    <cellStyle name="60% - Accent3 4" xfId="238"/>
    <cellStyle name="60% - Accent3 5" xfId="239"/>
    <cellStyle name="60% - Accent3 6" xfId="240"/>
    <cellStyle name="60% - Accent3 7" xfId="241"/>
    <cellStyle name="60% - Accent3 8" xfId="242"/>
    <cellStyle name="60% - Accent3 9" xfId="243"/>
    <cellStyle name="60% - Accent4" xfId="244"/>
    <cellStyle name="60% - Accent4 1" xfId="245"/>
    <cellStyle name="60% - Accent4 10" xfId="246"/>
    <cellStyle name="60% - Accent4 11" xfId="247"/>
    <cellStyle name="60% - Accent4 12" xfId="248"/>
    <cellStyle name="60% - Accent4 13" xfId="249"/>
    <cellStyle name="60% - Accent4 14" xfId="250"/>
    <cellStyle name="60% - Accent4 2" xfId="251"/>
    <cellStyle name="60% - Accent4 3" xfId="252"/>
    <cellStyle name="60% - Accent4 4" xfId="253"/>
    <cellStyle name="60% - Accent4 5" xfId="254"/>
    <cellStyle name="60% - Accent4 6" xfId="255"/>
    <cellStyle name="60% - Accent4 7" xfId="256"/>
    <cellStyle name="60% - Accent4 8" xfId="257"/>
    <cellStyle name="60% - Accent4 9" xfId="258"/>
    <cellStyle name="60% - Accent5" xfId="259"/>
    <cellStyle name="60% - Accent5 1" xfId="260"/>
    <cellStyle name="60% - Accent5 10" xfId="261"/>
    <cellStyle name="60% - Accent5 11" xfId="262"/>
    <cellStyle name="60% - Accent5 12" xfId="263"/>
    <cellStyle name="60% - Accent5 13" xfId="264"/>
    <cellStyle name="60% - Accent5 14" xfId="265"/>
    <cellStyle name="60% - Accent5 2" xfId="266"/>
    <cellStyle name="60% - Accent5 3" xfId="267"/>
    <cellStyle name="60% - Accent5 4" xfId="268"/>
    <cellStyle name="60% - Accent5 5" xfId="269"/>
    <cellStyle name="60% - Accent5 6" xfId="270"/>
    <cellStyle name="60% - Accent5 7" xfId="271"/>
    <cellStyle name="60% - Accent5 8" xfId="272"/>
    <cellStyle name="60% - Accent5 9" xfId="273"/>
    <cellStyle name="60% - Accent6" xfId="274"/>
    <cellStyle name="60% - Accent6 1" xfId="275"/>
    <cellStyle name="60% - Accent6 10" xfId="276"/>
    <cellStyle name="60% - Accent6 11" xfId="277"/>
    <cellStyle name="60% - Accent6 12" xfId="278"/>
    <cellStyle name="60% - Accent6 13" xfId="279"/>
    <cellStyle name="60% - Accent6 14" xfId="280"/>
    <cellStyle name="60% - Accent6 2" xfId="281"/>
    <cellStyle name="60% - Accent6 3" xfId="282"/>
    <cellStyle name="60% - Accent6 4" xfId="283"/>
    <cellStyle name="60% - Accent6 5" xfId="284"/>
    <cellStyle name="60% - Accent6 6" xfId="285"/>
    <cellStyle name="60% - Accent6 7" xfId="286"/>
    <cellStyle name="60% - Accent6 8" xfId="287"/>
    <cellStyle name="60% - Accent6 9" xfId="288"/>
    <cellStyle name="Accent1" xfId="289"/>
    <cellStyle name="Accent1 1" xfId="290"/>
    <cellStyle name="Accent1 10" xfId="291"/>
    <cellStyle name="Accent1 11" xfId="292"/>
    <cellStyle name="Accent1 12" xfId="293"/>
    <cellStyle name="Accent1 13" xfId="294"/>
    <cellStyle name="Accent1 14" xfId="295"/>
    <cellStyle name="Accent1 2" xfId="296"/>
    <cellStyle name="Accent1 3" xfId="297"/>
    <cellStyle name="Accent1 4" xfId="298"/>
    <cellStyle name="Accent1 5" xfId="299"/>
    <cellStyle name="Accent1 6" xfId="300"/>
    <cellStyle name="Accent1 7" xfId="301"/>
    <cellStyle name="Accent1 8" xfId="302"/>
    <cellStyle name="Accent1 9" xfId="303"/>
    <cellStyle name="Accent2" xfId="304"/>
    <cellStyle name="Accent2 1" xfId="305"/>
    <cellStyle name="Accent2 10" xfId="306"/>
    <cellStyle name="Accent2 11" xfId="307"/>
    <cellStyle name="Accent2 12" xfId="308"/>
    <cellStyle name="Accent2 13" xfId="309"/>
    <cellStyle name="Accent2 14" xfId="310"/>
    <cellStyle name="Accent2 2" xfId="311"/>
    <cellStyle name="Accent2 3" xfId="312"/>
    <cellStyle name="Accent2 4" xfId="313"/>
    <cellStyle name="Accent2 5" xfId="314"/>
    <cellStyle name="Accent2 6" xfId="315"/>
    <cellStyle name="Accent2 7" xfId="316"/>
    <cellStyle name="Accent2 8" xfId="317"/>
    <cellStyle name="Accent2 9" xfId="318"/>
    <cellStyle name="Accent3" xfId="319"/>
    <cellStyle name="Accent3 1" xfId="320"/>
    <cellStyle name="Accent3 10" xfId="321"/>
    <cellStyle name="Accent3 11" xfId="322"/>
    <cellStyle name="Accent3 12" xfId="323"/>
    <cellStyle name="Accent3 13" xfId="324"/>
    <cellStyle name="Accent3 14" xfId="325"/>
    <cellStyle name="Accent3 2" xfId="326"/>
    <cellStyle name="Accent3 3" xfId="327"/>
    <cellStyle name="Accent3 4" xfId="328"/>
    <cellStyle name="Accent3 5" xfId="329"/>
    <cellStyle name="Accent3 6" xfId="330"/>
    <cellStyle name="Accent3 7" xfId="331"/>
    <cellStyle name="Accent3 8" xfId="332"/>
    <cellStyle name="Accent3 9" xfId="333"/>
    <cellStyle name="Accent4" xfId="334"/>
    <cellStyle name="Accent4 1" xfId="335"/>
    <cellStyle name="Accent4 10" xfId="336"/>
    <cellStyle name="Accent4 11" xfId="337"/>
    <cellStyle name="Accent4 12" xfId="338"/>
    <cellStyle name="Accent4 13" xfId="339"/>
    <cellStyle name="Accent4 14" xfId="340"/>
    <cellStyle name="Accent4 2" xfId="341"/>
    <cellStyle name="Accent4 3" xfId="342"/>
    <cellStyle name="Accent4 4" xfId="343"/>
    <cellStyle name="Accent4 5" xfId="344"/>
    <cellStyle name="Accent4 6" xfId="345"/>
    <cellStyle name="Accent4 7" xfId="346"/>
    <cellStyle name="Accent4 8" xfId="347"/>
    <cellStyle name="Accent4 9" xfId="348"/>
    <cellStyle name="Accent5" xfId="349"/>
    <cellStyle name="Accent5 1" xfId="350"/>
    <cellStyle name="Accent5 10" xfId="351"/>
    <cellStyle name="Accent5 11" xfId="352"/>
    <cellStyle name="Accent5 12" xfId="353"/>
    <cellStyle name="Accent5 13" xfId="354"/>
    <cellStyle name="Accent5 14" xfId="355"/>
    <cellStyle name="Accent5 2" xfId="356"/>
    <cellStyle name="Accent5 3" xfId="357"/>
    <cellStyle name="Accent5 4" xfId="358"/>
    <cellStyle name="Accent5 5" xfId="359"/>
    <cellStyle name="Accent5 6" xfId="360"/>
    <cellStyle name="Accent5 7" xfId="361"/>
    <cellStyle name="Accent5 8" xfId="362"/>
    <cellStyle name="Accent5 9" xfId="363"/>
    <cellStyle name="Accent6" xfId="364"/>
    <cellStyle name="Accent6 1" xfId="365"/>
    <cellStyle name="Accent6 10" xfId="366"/>
    <cellStyle name="Accent6 11" xfId="367"/>
    <cellStyle name="Accent6 12" xfId="368"/>
    <cellStyle name="Accent6 13" xfId="369"/>
    <cellStyle name="Accent6 14" xfId="370"/>
    <cellStyle name="Accent6 2" xfId="371"/>
    <cellStyle name="Accent6 3" xfId="372"/>
    <cellStyle name="Accent6 4" xfId="373"/>
    <cellStyle name="Accent6 5" xfId="374"/>
    <cellStyle name="Accent6 6" xfId="375"/>
    <cellStyle name="Accent6 7" xfId="376"/>
    <cellStyle name="Accent6 8" xfId="377"/>
    <cellStyle name="Accent6 9" xfId="378"/>
    <cellStyle name="Bad" xfId="379"/>
    <cellStyle name="Bad 1" xfId="380"/>
    <cellStyle name="Bad 10" xfId="381"/>
    <cellStyle name="Bad 11" xfId="382"/>
    <cellStyle name="Bad 12" xfId="383"/>
    <cellStyle name="Bad 13" xfId="384"/>
    <cellStyle name="Bad 14" xfId="385"/>
    <cellStyle name="Bad 2" xfId="386"/>
    <cellStyle name="Bad 3" xfId="387"/>
    <cellStyle name="Bad 4" xfId="388"/>
    <cellStyle name="Bad 5" xfId="389"/>
    <cellStyle name="Bad 6" xfId="390"/>
    <cellStyle name="Bad 7" xfId="391"/>
    <cellStyle name="Bad 8" xfId="392"/>
    <cellStyle name="Bad 9" xfId="393"/>
    <cellStyle name="Calculation" xfId="394"/>
    <cellStyle name="Calculation 1" xfId="395"/>
    <cellStyle name="Calculation 10" xfId="396"/>
    <cellStyle name="Calculation 11" xfId="397"/>
    <cellStyle name="Calculation 12" xfId="398"/>
    <cellStyle name="Calculation 13" xfId="399"/>
    <cellStyle name="Calculation 14" xfId="400"/>
    <cellStyle name="Calculation 2" xfId="401"/>
    <cellStyle name="Calculation 3" xfId="402"/>
    <cellStyle name="Calculation 4" xfId="403"/>
    <cellStyle name="Calculation 5" xfId="404"/>
    <cellStyle name="Calculation 6" xfId="405"/>
    <cellStyle name="Calculation 7" xfId="406"/>
    <cellStyle name="Calculation 8" xfId="407"/>
    <cellStyle name="Calculation 9" xfId="408"/>
    <cellStyle name="Čiarka" xfId="409" builtinId="3"/>
    <cellStyle name="čiarky_Rozpočet_2013_2015" xfId="410"/>
    <cellStyle name="Dobrá" xfId="411" builtinId="26" customBuiltin="1"/>
    <cellStyle name="Explanatory Text" xfId="412"/>
    <cellStyle name="Explanatory Text 1" xfId="413"/>
    <cellStyle name="Explanatory Text 10" xfId="414"/>
    <cellStyle name="Explanatory Text 11" xfId="415"/>
    <cellStyle name="Explanatory Text 12" xfId="416"/>
    <cellStyle name="Explanatory Text 13" xfId="417"/>
    <cellStyle name="Explanatory Text 14" xfId="418"/>
    <cellStyle name="Explanatory Text 2" xfId="419"/>
    <cellStyle name="Explanatory Text 3" xfId="420"/>
    <cellStyle name="Explanatory Text 4" xfId="421"/>
    <cellStyle name="Explanatory Text 5" xfId="422"/>
    <cellStyle name="Explanatory Text 6" xfId="423"/>
    <cellStyle name="Explanatory Text 7" xfId="424"/>
    <cellStyle name="Explanatory Text 8" xfId="425"/>
    <cellStyle name="Explanatory Text 9" xfId="426"/>
    <cellStyle name="Good" xfId="427"/>
    <cellStyle name="Good 1" xfId="428"/>
    <cellStyle name="Good 10" xfId="429"/>
    <cellStyle name="Good 11" xfId="430"/>
    <cellStyle name="Good 12" xfId="431"/>
    <cellStyle name="Good 13" xfId="432"/>
    <cellStyle name="Good 14" xfId="433"/>
    <cellStyle name="Good 2" xfId="434"/>
    <cellStyle name="Good 3" xfId="435"/>
    <cellStyle name="Good 4" xfId="436"/>
    <cellStyle name="Good 5" xfId="437"/>
    <cellStyle name="Good 6" xfId="438"/>
    <cellStyle name="Good 7" xfId="439"/>
    <cellStyle name="Good 8" xfId="440"/>
    <cellStyle name="Good 9" xfId="441"/>
    <cellStyle name="Heading 1" xfId="442"/>
    <cellStyle name="Heading 1 1" xfId="443"/>
    <cellStyle name="Heading 1 10" xfId="444"/>
    <cellStyle name="Heading 1 11" xfId="445"/>
    <cellStyle name="Heading 1 12" xfId="446"/>
    <cellStyle name="Heading 1 13" xfId="447"/>
    <cellStyle name="Heading 1 14" xfId="448"/>
    <cellStyle name="Heading 1 2" xfId="449"/>
    <cellStyle name="Heading 1 3" xfId="450"/>
    <cellStyle name="Heading 1 4" xfId="451"/>
    <cellStyle name="Heading 1 5" xfId="452"/>
    <cellStyle name="Heading 1 6" xfId="453"/>
    <cellStyle name="Heading 1 7" xfId="454"/>
    <cellStyle name="Heading 1 8" xfId="455"/>
    <cellStyle name="Heading 1 9" xfId="456"/>
    <cellStyle name="Heading 2" xfId="457"/>
    <cellStyle name="Heading 2 1" xfId="458"/>
    <cellStyle name="Heading 2 10" xfId="459"/>
    <cellStyle name="Heading 2 11" xfId="460"/>
    <cellStyle name="Heading 2 12" xfId="461"/>
    <cellStyle name="Heading 2 13" xfId="462"/>
    <cellStyle name="Heading 2 14" xfId="463"/>
    <cellStyle name="Heading 2 2" xfId="464"/>
    <cellStyle name="Heading 2 3" xfId="465"/>
    <cellStyle name="Heading 2 4" xfId="466"/>
    <cellStyle name="Heading 2 5" xfId="467"/>
    <cellStyle name="Heading 2 6" xfId="468"/>
    <cellStyle name="Heading 2 7" xfId="469"/>
    <cellStyle name="Heading 2 8" xfId="470"/>
    <cellStyle name="Heading 2 9" xfId="471"/>
    <cellStyle name="Heading 3" xfId="472"/>
    <cellStyle name="Heading 3 1" xfId="473"/>
    <cellStyle name="Heading 3 10" xfId="474"/>
    <cellStyle name="Heading 3 11" xfId="475"/>
    <cellStyle name="Heading 3 12" xfId="476"/>
    <cellStyle name="Heading 3 13" xfId="477"/>
    <cellStyle name="Heading 3 14" xfId="478"/>
    <cellStyle name="Heading 3 2" xfId="479"/>
    <cellStyle name="Heading 3 3" xfId="480"/>
    <cellStyle name="Heading 3 4" xfId="481"/>
    <cellStyle name="Heading 3 5" xfId="482"/>
    <cellStyle name="Heading 3 6" xfId="483"/>
    <cellStyle name="Heading 3 7" xfId="484"/>
    <cellStyle name="Heading 3 8" xfId="485"/>
    <cellStyle name="Heading 3 9" xfId="486"/>
    <cellStyle name="Heading 4" xfId="487"/>
    <cellStyle name="Heading 4 1" xfId="488"/>
    <cellStyle name="Heading 4 10" xfId="489"/>
    <cellStyle name="Heading 4 11" xfId="490"/>
    <cellStyle name="Heading 4 12" xfId="491"/>
    <cellStyle name="Heading 4 13" xfId="492"/>
    <cellStyle name="Heading 4 14" xfId="493"/>
    <cellStyle name="Heading 4 2" xfId="494"/>
    <cellStyle name="Heading 4 3" xfId="495"/>
    <cellStyle name="Heading 4 4" xfId="496"/>
    <cellStyle name="Heading 4 5" xfId="497"/>
    <cellStyle name="Heading 4 6" xfId="498"/>
    <cellStyle name="Heading 4 7" xfId="499"/>
    <cellStyle name="Heading 4 8" xfId="500"/>
    <cellStyle name="Heading 4 9" xfId="501"/>
    <cellStyle name="Check Cell" xfId="502"/>
    <cellStyle name="Check Cell 1" xfId="503"/>
    <cellStyle name="Check Cell 10" xfId="504"/>
    <cellStyle name="Check Cell 11" xfId="505"/>
    <cellStyle name="Check Cell 12" xfId="506"/>
    <cellStyle name="Check Cell 13" xfId="507"/>
    <cellStyle name="Check Cell 14" xfId="508"/>
    <cellStyle name="Check Cell 2" xfId="509"/>
    <cellStyle name="Check Cell 3" xfId="510"/>
    <cellStyle name="Check Cell 4" xfId="511"/>
    <cellStyle name="Check Cell 5" xfId="512"/>
    <cellStyle name="Check Cell 6" xfId="513"/>
    <cellStyle name="Check Cell 7" xfId="514"/>
    <cellStyle name="Check Cell 8" xfId="515"/>
    <cellStyle name="Check Cell 9" xfId="516"/>
    <cellStyle name="Input" xfId="517"/>
    <cellStyle name="Input 1" xfId="518"/>
    <cellStyle name="Input 10" xfId="519"/>
    <cellStyle name="Input 11" xfId="520"/>
    <cellStyle name="Input 12" xfId="521"/>
    <cellStyle name="Input 13" xfId="522"/>
    <cellStyle name="Input 14" xfId="523"/>
    <cellStyle name="Input 2" xfId="524"/>
    <cellStyle name="Input 3" xfId="525"/>
    <cellStyle name="Input 4" xfId="526"/>
    <cellStyle name="Input 5" xfId="527"/>
    <cellStyle name="Input 6" xfId="528"/>
    <cellStyle name="Input 7" xfId="529"/>
    <cellStyle name="Input 8" xfId="530"/>
    <cellStyle name="Input 9" xfId="531"/>
    <cellStyle name="Kontrolná bunka" xfId="532" builtinId="23" customBuiltin="1"/>
    <cellStyle name="Linked Cell" xfId="533"/>
    <cellStyle name="Linked Cell 1" xfId="534"/>
    <cellStyle name="Linked Cell 10" xfId="535"/>
    <cellStyle name="Linked Cell 11" xfId="536"/>
    <cellStyle name="Linked Cell 12" xfId="537"/>
    <cellStyle name="Linked Cell 13" xfId="538"/>
    <cellStyle name="Linked Cell 14" xfId="539"/>
    <cellStyle name="Linked Cell 2" xfId="540"/>
    <cellStyle name="Linked Cell 3" xfId="541"/>
    <cellStyle name="Linked Cell 4" xfId="542"/>
    <cellStyle name="Linked Cell 5" xfId="543"/>
    <cellStyle name="Linked Cell 6" xfId="544"/>
    <cellStyle name="Linked Cell 7" xfId="545"/>
    <cellStyle name="Linked Cell 8" xfId="546"/>
    <cellStyle name="Linked Cell 9" xfId="547"/>
    <cellStyle name="meny_Rozpočet_2013_2015" xfId="548"/>
    <cellStyle name="Nadpis 1" xfId="549" builtinId="16" customBuiltin="1"/>
    <cellStyle name="Nadpis 2" xfId="550" builtinId="17" customBuiltin="1"/>
    <cellStyle name="Nadpis 3" xfId="551" builtinId="18" customBuiltin="1"/>
    <cellStyle name="Nadpis 4" xfId="552" builtinId="19" customBuiltin="1"/>
    <cellStyle name="Neutral" xfId="553"/>
    <cellStyle name="Neutral 1" xfId="554"/>
    <cellStyle name="Neutral 10" xfId="555"/>
    <cellStyle name="Neutral 11" xfId="556"/>
    <cellStyle name="Neutral 12" xfId="557"/>
    <cellStyle name="Neutral 13" xfId="558"/>
    <cellStyle name="Neutral 14" xfId="559"/>
    <cellStyle name="Neutral 2" xfId="560"/>
    <cellStyle name="Neutral 3" xfId="561"/>
    <cellStyle name="Neutral 4" xfId="562"/>
    <cellStyle name="Neutral 5" xfId="563"/>
    <cellStyle name="Neutral 6" xfId="564"/>
    <cellStyle name="Neutral 7" xfId="565"/>
    <cellStyle name="Neutral 8" xfId="566"/>
    <cellStyle name="Neutral 9" xfId="567"/>
    <cellStyle name="Neutrálna" xfId="568" builtinId="28" customBuiltin="1"/>
    <cellStyle name="Normálne" xfId="0" builtinId="0"/>
    <cellStyle name="normálne_Rozpočet_2013_2015" xfId="569"/>
    <cellStyle name="Note" xfId="570"/>
    <cellStyle name="Note 1" xfId="571"/>
    <cellStyle name="Note 10" xfId="572"/>
    <cellStyle name="Note 11" xfId="573"/>
    <cellStyle name="Note 12" xfId="574"/>
    <cellStyle name="Note 13" xfId="575"/>
    <cellStyle name="Note 14" xfId="576"/>
    <cellStyle name="Note 2" xfId="577"/>
    <cellStyle name="Note 3" xfId="578"/>
    <cellStyle name="Note 4" xfId="579"/>
    <cellStyle name="Note 5" xfId="580"/>
    <cellStyle name="Note 6" xfId="581"/>
    <cellStyle name="Note 7" xfId="582"/>
    <cellStyle name="Note 8" xfId="583"/>
    <cellStyle name="Note 9" xfId="584"/>
    <cellStyle name="Output" xfId="585"/>
    <cellStyle name="Output 1" xfId="586"/>
    <cellStyle name="Output 10" xfId="587"/>
    <cellStyle name="Output 11" xfId="588"/>
    <cellStyle name="Output 12" xfId="589"/>
    <cellStyle name="Output 13" xfId="590"/>
    <cellStyle name="Output 14" xfId="591"/>
    <cellStyle name="Output 2" xfId="592"/>
    <cellStyle name="Output 3" xfId="593"/>
    <cellStyle name="Output 4" xfId="594"/>
    <cellStyle name="Output 5" xfId="595"/>
    <cellStyle name="Output 6" xfId="596"/>
    <cellStyle name="Output 7" xfId="597"/>
    <cellStyle name="Output 8" xfId="598"/>
    <cellStyle name="Output 9" xfId="599"/>
    <cellStyle name="Poznámka" xfId="600" builtinId="10" customBuiltin="1"/>
    <cellStyle name="Prepojená bunka" xfId="601" builtinId="24" customBuiltin="1"/>
    <cellStyle name="Spolu" xfId="602" builtinId="25" customBuiltin="1"/>
    <cellStyle name="Text upozornenia" xfId="603" builtinId="11" customBuiltin="1"/>
    <cellStyle name="Title" xfId="604"/>
    <cellStyle name="Title 1" xfId="605"/>
    <cellStyle name="Title 10" xfId="606"/>
    <cellStyle name="Title 11" xfId="607"/>
    <cellStyle name="Title 12" xfId="608"/>
    <cellStyle name="Title 13" xfId="609"/>
    <cellStyle name="Title 14" xfId="610"/>
    <cellStyle name="Title 2" xfId="611"/>
    <cellStyle name="Title 3" xfId="612"/>
    <cellStyle name="Title 4" xfId="613"/>
    <cellStyle name="Title 5" xfId="614"/>
    <cellStyle name="Title 6" xfId="615"/>
    <cellStyle name="Title 7" xfId="616"/>
    <cellStyle name="Title 8" xfId="617"/>
    <cellStyle name="Title 9" xfId="618"/>
    <cellStyle name="Titul" xfId="619" builtinId="15" customBuiltin="1"/>
    <cellStyle name="Total" xfId="620"/>
    <cellStyle name="Total 1" xfId="621"/>
    <cellStyle name="Total 10" xfId="622"/>
    <cellStyle name="Total 11" xfId="623"/>
    <cellStyle name="Total 12" xfId="624"/>
    <cellStyle name="Total 13" xfId="625"/>
    <cellStyle name="Total 14" xfId="626"/>
    <cellStyle name="Total 2" xfId="627"/>
    <cellStyle name="Total 3" xfId="628"/>
    <cellStyle name="Total 4" xfId="629"/>
    <cellStyle name="Total 5" xfId="630"/>
    <cellStyle name="Total 6" xfId="631"/>
    <cellStyle name="Total 7" xfId="632"/>
    <cellStyle name="Total 8" xfId="633"/>
    <cellStyle name="Total 9" xfId="634"/>
    <cellStyle name="Vstup" xfId="635" builtinId="20" customBuiltin="1"/>
    <cellStyle name="Výpočet" xfId="636" builtinId="22" customBuiltin="1"/>
    <cellStyle name="Výstup" xfId="637" builtinId="21" customBuiltin="1"/>
    <cellStyle name="Vysvetľujúci text" xfId="638" builtinId="53" customBuiltin="1"/>
    <cellStyle name="Warning Text" xfId="639"/>
    <cellStyle name="Warning Text 1" xfId="640"/>
    <cellStyle name="Warning Text 10" xfId="641"/>
    <cellStyle name="Warning Text 11" xfId="642"/>
    <cellStyle name="Warning Text 12" xfId="643"/>
    <cellStyle name="Warning Text 13" xfId="644"/>
    <cellStyle name="Warning Text 14" xfId="645"/>
    <cellStyle name="Warning Text 2" xfId="646"/>
    <cellStyle name="Warning Text 3" xfId="647"/>
    <cellStyle name="Warning Text 4" xfId="648"/>
    <cellStyle name="Warning Text 5" xfId="649"/>
    <cellStyle name="Warning Text 6" xfId="650"/>
    <cellStyle name="Warning Text 7" xfId="651"/>
    <cellStyle name="Warning Text 8" xfId="652"/>
    <cellStyle name="Warning Text 9" xfId="653"/>
    <cellStyle name="Zlá" xfId="654" builtinId="27" customBuiltin="1"/>
    <cellStyle name="Zvýraznenie1" xfId="655" builtinId="29" customBuiltin="1"/>
    <cellStyle name="Zvýraznenie2" xfId="656" builtinId="33" customBuiltin="1"/>
    <cellStyle name="Zvýraznenie3" xfId="657" builtinId="37" customBuiltin="1"/>
    <cellStyle name="Zvýraznenie4" xfId="658" builtinId="41" customBuiltin="1"/>
    <cellStyle name="Zvýraznenie5" xfId="659" builtinId="45" customBuiltin="1"/>
    <cellStyle name="Zvýraznenie6" xfId="660" builtinId="49" customBuiltin="1"/>
  </cellStyles>
  <dxfs count="0"/>
  <tableStyles count="0" defaultTableStyle="TableStyleMedium2" defaultPivotStyle="PivotStyleLight16"/>
  <colors>
    <mruColors>
      <color rgb="FFFFFFCC"/>
      <color rgb="FFFFCC99"/>
      <color rgb="FFFF9966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o26795/AppData/Local/Temp/N&#225;vrh%20rozpo&#269;tu%2020-21-22-19.11.2019-12.12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jmová časť"/>
      <sheetName val="príjmy"/>
      <sheetName val="Program 1"/>
      <sheetName val="Program 2"/>
      <sheetName val="Program 3"/>
      <sheetName val="Program 4"/>
      <sheetName val="Program 5"/>
      <sheetName val="Program 6"/>
      <sheetName val="Program 7"/>
      <sheetName val="Program 8"/>
      <sheetName val="Program 9"/>
      <sheetName val="Program 10"/>
      <sheetName val="Bilancia"/>
      <sheetName val="výdavky"/>
      <sheetName val="Hárok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0">
          <cell r="D30">
            <v>13924.939999999999</v>
          </cell>
          <cell r="E30">
            <v>14402</v>
          </cell>
          <cell r="F30">
            <v>12650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Červenofialová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1"/>
  <sheetViews>
    <sheetView view="pageLayout" zoomScaleNormal="100" workbookViewId="0">
      <selection activeCell="M123" sqref="M123"/>
    </sheetView>
  </sheetViews>
  <sheetFormatPr defaultColWidth="8.42578125" defaultRowHeight="12.75" x14ac:dyDescent="0.2"/>
  <cols>
    <col min="1" max="1" width="4.140625" style="1" customWidth="1"/>
    <col min="2" max="8" width="4.140625" customWidth="1"/>
    <col min="9" max="9" width="9.5703125" style="2" customWidth="1"/>
    <col min="10" max="11" width="10" bestFit="1" customWidth="1"/>
    <col min="12" max="12" width="10.42578125" bestFit="1" customWidth="1"/>
    <col min="13" max="13" width="11.28515625" bestFit="1" customWidth="1"/>
    <col min="14" max="15" width="10" bestFit="1" customWidth="1"/>
  </cols>
  <sheetData>
    <row r="1" spans="1:15" ht="18" x14ac:dyDescent="0.25">
      <c r="A1" s="3684" t="s">
        <v>0</v>
      </c>
      <c r="B1" s="3684"/>
      <c r="C1" s="3684"/>
      <c r="D1" s="3684"/>
      <c r="E1" s="3684"/>
      <c r="F1" s="3684"/>
      <c r="G1" s="3684"/>
      <c r="H1" s="3684"/>
      <c r="I1" s="3684"/>
      <c r="J1" s="3684"/>
      <c r="K1" s="3684"/>
      <c r="L1" s="3684"/>
      <c r="M1" s="3684"/>
      <c r="N1" s="3684"/>
      <c r="O1" s="3684"/>
    </row>
    <row r="2" spans="1:15" ht="13.5" thickBot="1" x14ac:dyDescent="0.25"/>
    <row r="3" spans="1:15" ht="15.75" thickBot="1" x14ac:dyDescent="0.25">
      <c r="A3" s="3655" t="s">
        <v>1</v>
      </c>
      <c r="B3" s="3656"/>
      <c r="C3" s="3656"/>
      <c r="D3" s="3656"/>
      <c r="E3" s="3656"/>
      <c r="F3" s="3656"/>
      <c r="G3" s="3656"/>
      <c r="H3" s="3657"/>
      <c r="I3" s="1320">
        <f t="shared" ref="I3:O3" si="0">I5+I27+I69</f>
        <v>1572065.0699999998</v>
      </c>
      <c r="J3" s="1316">
        <f t="shared" si="0"/>
        <v>1575644</v>
      </c>
      <c r="K3" s="1316">
        <f t="shared" si="0"/>
        <v>1436105</v>
      </c>
      <c r="L3" s="1317">
        <f t="shared" si="0"/>
        <v>1565881</v>
      </c>
      <c r="M3" s="1318">
        <f t="shared" si="0"/>
        <v>1486550</v>
      </c>
      <c r="N3" s="1319">
        <f t="shared" si="0"/>
        <v>1605808</v>
      </c>
      <c r="O3" s="1316">
        <f t="shared" si="0"/>
        <v>1675655</v>
      </c>
    </row>
    <row r="4" spans="1:15" ht="15.75" thickBot="1" x14ac:dyDescent="0.25">
      <c r="A4" s="3"/>
      <c r="B4" s="4"/>
      <c r="C4" s="4"/>
      <c r="D4" s="4"/>
      <c r="E4" s="4"/>
      <c r="F4" s="4"/>
      <c r="G4" s="4"/>
      <c r="H4" s="4"/>
      <c r="I4" s="5"/>
    </row>
    <row r="5" spans="1:15" ht="15.75" thickBot="1" x14ac:dyDescent="0.25">
      <c r="A5" s="3694" t="s">
        <v>2</v>
      </c>
      <c r="B5" s="3694"/>
      <c r="C5" s="3694"/>
      <c r="D5" s="3694"/>
      <c r="E5" s="3694"/>
      <c r="F5" s="3694"/>
      <c r="G5" s="3694"/>
      <c r="H5" s="3694"/>
      <c r="I5" s="3247">
        <f t="shared" ref="I5:O5" si="1">I8+I10+I12+I14+I16+I18+I20</f>
        <v>1191296.43</v>
      </c>
      <c r="J5" s="1271">
        <f>J8+J10+J12+J14+J16+J18+J20</f>
        <v>1242847</v>
      </c>
      <c r="K5" s="1271">
        <f t="shared" si="1"/>
        <v>1232755</v>
      </c>
      <c r="L5" s="1272">
        <f t="shared" si="1"/>
        <v>1210314</v>
      </c>
      <c r="M5" s="1273">
        <f t="shared" si="1"/>
        <v>1241952</v>
      </c>
      <c r="N5" s="1274">
        <f t="shared" si="1"/>
        <v>1347738</v>
      </c>
      <c r="O5" s="1271">
        <f t="shared" si="1"/>
        <v>1423005</v>
      </c>
    </row>
    <row r="6" spans="1:15" ht="15" x14ac:dyDescent="0.2">
      <c r="A6" s="1234"/>
      <c r="B6" s="1235"/>
      <c r="C6" s="1235"/>
      <c r="D6" s="1235"/>
      <c r="E6" s="1235"/>
      <c r="F6" s="1235"/>
      <c r="G6" s="1235"/>
      <c r="H6" s="1236"/>
      <c r="I6" s="1276" t="s">
        <v>960</v>
      </c>
      <c r="J6" s="1276" t="s">
        <v>961</v>
      </c>
      <c r="K6" s="1276" t="s">
        <v>962</v>
      </c>
      <c r="L6" s="1277" t="s">
        <v>963</v>
      </c>
      <c r="M6" s="1315">
        <v>2022</v>
      </c>
      <c r="N6" s="1278">
        <v>2023</v>
      </c>
      <c r="O6" s="1279">
        <v>2024</v>
      </c>
    </row>
    <row r="7" spans="1:15" x14ac:dyDescent="0.2">
      <c r="A7" s="1213" t="s">
        <v>3</v>
      </c>
      <c r="B7" s="1202" t="s">
        <v>4</v>
      </c>
      <c r="C7" s="1202"/>
      <c r="D7" s="1202"/>
      <c r="E7" s="1202"/>
      <c r="F7" s="1202"/>
      <c r="G7" s="1202"/>
      <c r="H7" s="1202"/>
      <c r="I7" s="1203"/>
      <c r="J7" s="1204"/>
      <c r="K7" s="1205"/>
      <c r="L7" s="1205"/>
      <c r="M7" s="1211"/>
      <c r="N7" s="1205"/>
      <c r="O7" s="1214"/>
    </row>
    <row r="8" spans="1:15" ht="45.2" customHeight="1" x14ac:dyDescent="0.2">
      <c r="A8" s="3663" t="s">
        <v>5</v>
      </c>
      <c r="B8" s="3664"/>
      <c r="C8" s="3664"/>
      <c r="D8" s="3664"/>
      <c r="E8" s="3664"/>
      <c r="F8" s="3664"/>
      <c r="G8" s="3664"/>
      <c r="H8" s="3664"/>
      <c r="I8" s="1249">
        <f>príjmy!K10</f>
        <v>960168.32</v>
      </c>
      <c r="J8" s="1249">
        <f>príjmy!L10</f>
        <v>928655</v>
      </c>
      <c r="K8" s="1249">
        <f>príjmy!M10</f>
        <v>919144</v>
      </c>
      <c r="L8" s="1250">
        <f>príjmy!O10</f>
        <v>962823</v>
      </c>
      <c r="M8" s="1605">
        <f>príjmy!P10</f>
        <v>1001461</v>
      </c>
      <c r="N8" s="1251">
        <f>príjmy!Q10</f>
        <v>1098877</v>
      </c>
      <c r="O8" s="1252">
        <f>príjmy!R10</f>
        <v>1174144</v>
      </c>
    </row>
    <row r="9" spans="1:15" x14ac:dyDescent="0.2">
      <c r="A9" s="1213" t="s">
        <v>6</v>
      </c>
      <c r="B9" s="1202" t="s">
        <v>7</v>
      </c>
      <c r="C9" s="1202"/>
      <c r="D9" s="1202"/>
      <c r="E9" s="1202"/>
      <c r="F9" s="1202"/>
      <c r="G9" s="1202"/>
      <c r="H9" s="1202"/>
      <c r="I9" s="1206"/>
      <c r="J9" s="1205"/>
      <c r="K9" s="1205"/>
      <c r="L9" s="1205"/>
      <c r="M9" s="1212"/>
      <c r="N9" s="1205"/>
      <c r="O9" s="1214"/>
    </row>
    <row r="10" spans="1:15" ht="119.1" customHeight="1" x14ac:dyDescent="0.2">
      <c r="A10" s="3663" t="s">
        <v>8</v>
      </c>
      <c r="B10" s="3664"/>
      <c r="C10" s="3664"/>
      <c r="D10" s="3664"/>
      <c r="E10" s="3664"/>
      <c r="F10" s="3664"/>
      <c r="G10" s="3664"/>
      <c r="H10" s="3664"/>
      <c r="I10" s="1249">
        <f>príjmy!K16</f>
        <v>165624</v>
      </c>
      <c r="J10" s="1249">
        <f>príjmy!L16+príjmy!L31</f>
        <v>211474</v>
      </c>
      <c r="K10" s="1249">
        <f>príjmy!M16+príjmy!M31</f>
        <v>210500</v>
      </c>
      <c r="L10" s="1250">
        <f>príjmy!O16+príjmy!O31</f>
        <v>211300</v>
      </c>
      <c r="M10" s="1605">
        <f>príjmy!P16+príjmy!P31</f>
        <v>211300</v>
      </c>
      <c r="N10" s="1253">
        <f>príjmy!Q16+príjmy!Q31</f>
        <v>218000</v>
      </c>
      <c r="O10" s="1254">
        <f>príjmy!R16+príjmy!R31</f>
        <v>218000</v>
      </c>
    </row>
    <row r="11" spans="1:15" x14ac:dyDescent="0.2">
      <c r="A11" s="1213" t="s">
        <v>9</v>
      </c>
      <c r="B11" s="1202" t="s">
        <v>10</v>
      </c>
      <c r="C11" s="1202"/>
      <c r="D11" s="1202"/>
      <c r="E11" s="1202"/>
      <c r="F11" s="1202"/>
      <c r="G11" s="1202"/>
      <c r="H11" s="1202"/>
      <c r="I11" s="1207"/>
      <c r="J11" s="1205"/>
      <c r="K11" s="1205"/>
      <c r="L11" s="1205"/>
      <c r="M11" s="1212"/>
      <c r="N11" s="1205"/>
      <c r="O11" s="1214"/>
    </row>
    <row r="12" spans="1:15" ht="99.2" customHeight="1" x14ac:dyDescent="0.2">
      <c r="A12" s="3697" t="s">
        <v>11</v>
      </c>
      <c r="B12" s="3698"/>
      <c r="C12" s="3698"/>
      <c r="D12" s="3698"/>
      <c r="E12" s="3698"/>
      <c r="F12" s="3698"/>
      <c r="G12" s="3698"/>
      <c r="H12" s="3698"/>
      <c r="I12" s="1255">
        <f>príjmy!K27+príjmy!K31</f>
        <v>1518.8</v>
      </c>
      <c r="J12" s="1256">
        <f>príjmy!L27</f>
        <v>672</v>
      </c>
      <c r="K12" s="1256">
        <f>príjmy!M27</f>
        <v>1000</v>
      </c>
      <c r="L12" s="1257">
        <f>príjmy!O27</f>
        <v>300</v>
      </c>
      <c r="M12" s="1606">
        <f>príjmy!P27</f>
        <v>300</v>
      </c>
      <c r="N12" s="1258">
        <f>príjmy!Q27</f>
        <v>1400</v>
      </c>
      <c r="O12" s="1259">
        <f>príjmy!R27</f>
        <v>1400</v>
      </c>
    </row>
    <row r="13" spans="1:15" x14ac:dyDescent="0.2">
      <c r="A13" s="1213" t="s">
        <v>12</v>
      </c>
      <c r="B13" s="3665" t="s">
        <v>13</v>
      </c>
      <c r="C13" s="3665"/>
      <c r="D13" s="3665"/>
      <c r="E13" s="3665"/>
      <c r="F13" s="3665"/>
      <c r="G13" s="3665"/>
      <c r="H13" s="3665"/>
      <c r="I13" s="1206"/>
      <c r="J13" s="1205"/>
      <c r="K13" s="1205"/>
      <c r="L13" s="1205"/>
      <c r="M13" s="1212"/>
      <c r="N13" s="1205"/>
      <c r="O13" s="1214"/>
    </row>
    <row r="14" spans="1:15" ht="56.85" customHeight="1" x14ac:dyDescent="0.2">
      <c r="A14" s="3666" t="s">
        <v>14</v>
      </c>
      <c r="B14" s="3667"/>
      <c r="C14" s="3667"/>
      <c r="D14" s="3667"/>
      <c r="E14" s="3667"/>
      <c r="F14" s="3667"/>
      <c r="G14" s="3667"/>
      <c r="H14" s="3667"/>
      <c r="I14" s="1255">
        <f>príjmy!K24+príjmy!K25</f>
        <v>2919</v>
      </c>
      <c r="J14" s="1262">
        <f>príjmy!L24+príjmy!L25</f>
        <v>2630</v>
      </c>
      <c r="K14" s="1262">
        <f>príjmy!M24+príjmy!M25</f>
        <v>2750</v>
      </c>
      <c r="L14" s="1263">
        <f>príjmy!O24+príjmy!O25</f>
        <v>2530</v>
      </c>
      <c r="M14" s="1606">
        <f>príjmy!P24+príjmy!P25</f>
        <v>2530</v>
      </c>
      <c r="N14" s="1258">
        <f>príjmy!Q24+príjmy!Q25</f>
        <v>3100</v>
      </c>
      <c r="O14" s="1259">
        <f>príjmy!R24+príjmy!R25</f>
        <v>3100</v>
      </c>
    </row>
    <row r="15" spans="1:15" x14ac:dyDescent="0.2">
      <c r="A15" s="1213" t="s">
        <v>15</v>
      </c>
      <c r="B15" s="3665" t="s">
        <v>16</v>
      </c>
      <c r="C15" s="3665"/>
      <c r="D15" s="3665"/>
      <c r="E15" s="3665"/>
      <c r="F15" s="3665"/>
      <c r="G15" s="3665"/>
      <c r="H15" s="3665"/>
      <c r="I15" s="1206"/>
      <c r="J15" s="1205"/>
      <c r="K15" s="1205"/>
      <c r="L15" s="1205"/>
      <c r="M15" s="1212"/>
      <c r="N15" s="1201"/>
      <c r="O15" s="1215"/>
    </row>
    <row r="16" spans="1:15" ht="48.2" customHeight="1" x14ac:dyDescent="0.2">
      <c r="A16" s="3666" t="s">
        <v>17</v>
      </c>
      <c r="B16" s="3667"/>
      <c r="C16" s="3667"/>
      <c r="D16" s="3667"/>
      <c r="E16" s="3667"/>
      <c r="F16" s="3667"/>
      <c r="G16" s="3667"/>
      <c r="H16" s="3667"/>
      <c r="I16" s="1255">
        <f>príjmy!K26</f>
        <v>0</v>
      </c>
      <c r="J16" s="1262">
        <f>príjmy!L26</f>
        <v>0</v>
      </c>
      <c r="K16" s="1262">
        <f>príjmy!M26</f>
        <v>0</v>
      </c>
      <c r="L16" s="1263">
        <f>príjmy!O26</f>
        <v>0</v>
      </c>
      <c r="M16" s="1606">
        <f>príjmy!P26</f>
        <v>0</v>
      </c>
      <c r="N16" s="1258">
        <f>príjmy!Q26</f>
        <v>0</v>
      </c>
      <c r="O16" s="1259">
        <f>príjmy!R26</f>
        <v>0</v>
      </c>
    </row>
    <row r="17" spans="1:15" x14ac:dyDescent="0.2">
      <c r="A17" s="1213" t="s">
        <v>18</v>
      </c>
      <c r="B17" s="1208" t="s">
        <v>19</v>
      </c>
      <c r="C17" s="1208"/>
      <c r="D17" s="1208"/>
      <c r="E17" s="1208"/>
      <c r="F17" s="1208"/>
      <c r="G17" s="1208"/>
      <c r="H17" s="1208"/>
      <c r="I17" s="1207"/>
      <c r="J17" s="1205"/>
      <c r="K17" s="1205"/>
      <c r="L17" s="1205"/>
      <c r="M17" s="1212"/>
      <c r="N17" s="1205"/>
      <c r="O17" s="1214"/>
    </row>
    <row r="18" spans="1:15" ht="130.35" customHeight="1" x14ac:dyDescent="0.2">
      <c r="A18" s="3646" t="s">
        <v>683</v>
      </c>
      <c r="B18" s="3695"/>
      <c r="C18" s="3695"/>
      <c r="D18" s="3695"/>
      <c r="E18" s="3695"/>
      <c r="F18" s="3695"/>
      <c r="G18" s="3695"/>
      <c r="H18" s="3696"/>
      <c r="I18" s="1264">
        <f>príjmy!K30</f>
        <v>26361.31</v>
      </c>
      <c r="J18" s="1264">
        <f>príjmy!L30</f>
        <v>26361</v>
      </c>
      <c r="K18" s="1264">
        <f>príjmy!M30</f>
        <v>26361</v>
      </c>
      <c r="L18" s="1265">
        <f>príjmy!O30</f>
        <v>26361</v>
      </c>
      <c r="M18" s="1606">
        <f>príjmy!P30</f>
        <v>26361</v>
      </c>
      <c r="N18" s="1258">
        <f>príjmy!Q30</f>
        <v>26361</v>
      </c>
      <c r="O18" s="1259">
        <f>príjmy!R30</f>
        <v>26361</v>
      </c>
    </row>
    <row r="19" spans="1:15" x14ac:dyDescent="0.2">
      <c r="A19" s="1216" t="s">
        <v>20</v>
      </c>
      <c r="B19" s="1209" t="s">
        <v>21</v>
      </c>
      <c r="C19" s="1202"/>
      <c r="D19" s="1202"/>
      <c r="E19" s="1202"/>
      <c r="F19" s="1202"/>
      <c r="G19" s="1202"/>
      <c r="H19" s="1202"/>
      <c r="I19" s="1210"/>
      <c r="J19" s="1205"/>
      <c r="K19" s="1205"/>
      <c r="L19" s="1205"/>
      <c r="M19" s="1212"/>
      <c r="N19" s="1205"/>
      <c r="O19" s="1214"/>
    </row>
    <row r="20" spans="1:15" ht="79.349999999999994" customHeight="1" thickBot="1" x14ac:dyDescent="0.25">
      <c r="A20" s="3672" t="s">
        <v>22</v>
      </c>
      <c r="B20" s="3673"/>
      <c r="C20" s="3673"/>
      <c r="D20" s="3673"/>
      <c r="E20" s="3673"/>
      <c r="F20" s="3673"/>
      <c r="G20" s="3673"/>
      <c r="H20" s="3673"/>
      <c r="I20" s="1266">
        <f>príjmy!K28+príjmy!K29</f>
        <v>34705</v>
      </c>
      <c r="J20" s="1267">
        <f>príjmy!L28+príjmy!L29</f>
        <v>73055</v>
      </c>
      <c r="K20" s="1267">
        <f>príjmy!M28+príjmy!M29</f>
        <v>73000</v>
      </c>
      <c r="L20" s="1268">
        <f>príjmy!O28+príjmy!O29</f>
        <v>7000</v>
      </c>
      <c r="M20" s="1607">
        <f>príjmy!P28+príjmy!P29</f>
        <v>0</v>
      </c>
      <c r="N20" s="1269">
        <f>príjmy!Q28+príjmy!Q29</f>
        <v>0</v>
      </c>
      <c r="O20" s="1270">
        <f>príjmy!R28+príjmy!R29</f>
        <v>0</v>
      </c>
    </row>
    <row r="21" spans="1:15" ht="15" x14ac:dyDescent="0.2">
      <c r="A21" s="6"/>
      <c r="B21" s="7"/>
      <c r="C21" s="7"/>
      <c r="D21" s="7"/>
      <c r="E21" s="7"/>
      <c r="F21" s="7"/>
      <c r="G21" s="7"/>
      <c r="H21" s="7"/>
      <c r="I21" s="8"/>
    </row>
    <row r="22" spans="1:15" ht="15" x14ac:dyDescent="0.2">
      <c r="A22" s="6"/>
      <c r="B22" s="7"/>
      <c r="C22" s="7"/>
      <c r="D22" s="7"/>
      <c r="E22" s="7"/>
      <c r="F22" s="7"/>
      <c r="G22" s="7"/>
      <c r="H22" s="7"/>
      <c r="I22" s="8"/>
    </row>
    <row r="23" spans="1:15" ht="15" x14ac:dyDescent="0.2">
      <c r="A23" s="6"/>
      <c r="B23" s="7"/>
      <c r="C23" s="7"/>
      <c r="D23" s="7"/>
      <c r="E23" s="7"/>
      <c r="F23" s="7"/>
      <c r="G23" s="7"/>
      <c r="H23" s="7"/>
      <c r="I23" s="8"/>
    </row>
    <row r="24" spans="1:15" ht="15" x14ac:dyDescent="0.2">
      <c r="A24" s="6"/>
      <c r="B24" s="7"/>
      <c r="C24" s="7"/>
      <c r="D24" s="7"/>
      <c r="E24" s="7"/>
      <c r="F24" s="7"/>
      <c r="G24" s="7"/>
      <c r="H24" s="7"/>
      <c r="I24" s="8"/>
    </row>
    <row r="25" spans="1:15" ht="15" x14ac:dyDescent="0.2">
      <c r="A25" s="6"/>
      <c r="B25" s="7"/>
      <c r="C25" s="7"/>
      <c r="D25" s="7"/>
      <c r="E25" s="7"/>
      <c r="F25" s="7"/>
      <c r="G25" s="7"/>
      <c r="H25" s="7"/>
      <c r="I25" s="8"/>
    </row>
    <row r="26" spans="1:15" ht="15.75" thickBot="1" x14ac:dyDescent="0.25">
      <c r="A26" s="6"/>
      <c r="B26" s="7"/>
      <c r="C26" s="7"/>
      <c r="D26" s="7"/>
      <c r="E26" s="7"/>
      <c r="F26" s="7"/>
      <c r="G26" s="7"/>
      <c r="H26" s="7"/>
      <c r="I26" s="8"/>
    </row>
    <row r="27" spans="1:15" ht="15.75" thickBot="1" x14ac:dyDescent="0.25">
      <c r="A27" s="3674" t="s">
        <v>23</v>
      </c>
      <c r="B27" s="3675"/>
      <c r="C27" s="3675"/>
      <c r="D27" s="3675"/>
      <c r="E27" s="3675"/>
      <c r="F27" s="3675"/>
      <c r="G27" s="3675"/>
      <c r="H27" s="3676"/>
      <c r="I27" s="1275">
        <f t="shared" ref="I27:K27" si="2">I30+I32+I34+I36+I38+I40+I42+I44+I48+I50+I52+I54</f>
        <v>275917.64</v>
      </c>
      <c r="J27" s="1271">
        <f>J30+J32+J34+J36+J38+J40+J42+J44+J48+J50+J52+J54</f>
        <v>198132</v>
      </c>
      <c r="K27" s="1271">
        <f t="shared" si="2"/>
        <v>92500</v>
      </c>
      <c r="L27" s="1272">
        <f>L30+L32+L34+L36+L38+L40+L42+L44+L48+L50+L52+L54+L46</f>
        <v>170780</v>
      </c>
      <c r="M27" s="1273">
        <f>M30+M32+M34+M36+M38+M40+M42+M44+M48+M50+M52+M54+M46</f>
        <v>149080</v>
      </c>
      <c r="N27" s="1274">
        <f>N30+N32+N34+N36+N38+N40+N42+N44+N48+N50+N52+N54+N46</f>
        <v>149700</v>
      </c>
      <c r="O27" s="1271">
        <f>O30+O32+O34+O36+O38+O40+O42+O44+O48+O50+O52+O54+O46</f>
        <v>149750</v>
      </c>
    </row>
    <row r="28" spans="1:15" ht="15" x14ac:dyDescent="0.2">
      <c r="A28" s="1234"/>
      <c r="B28" s="1235"/>
      <c r="C28" s="1235"/>
      <c r="D28" s="1235"/>
      <c r="E28" s="1235"/>
      <c r="F28" s="1235"/>
      <c r="G28" s="1235"/>
      <c r="H28" s="1236"/>
      <c r="I28" s="1276" t="s">
        <v>960</v>
      </c>
      <c r="J28" s="1276" t="s">
        <v>961</v>
      </c>
      <c r="K28" s="1276" t="s">
        <v>962</v>
      </c>
      <c r="L28" s="1277" t="s">
        <v>963</v>
      </c>
      <c r="M28" s="1315">
        <v>2022</v>
      </c>
      <c r="N28" s="1278">
        <v>2023</v>
      </c>
      <c r="O28" s="1279">
        <v>2024</v>
      </c>
    </row>
    <row r="29" spans="1:15" x14ac:dyDescent="0.2">
      <c r="A29" s="1213" t="s">
        <v>24</v>
      </c>
      <c r="B29" s="3665" t="s">
        <v>25</v>
      </c>
      <c r="C29" s="3665"/>
      <c r="D29" s="3665"/>
      <c r="E29" s="3665"/>
      <c r="F29" s="3665"/>
      <c r="G29" s="3665"/>
      <c r="H29" s="3665"/>
      <c r="I29" s="1220"/>
      <c r="J29" s="1280"/>
      <c r="K29" s="1280"/>
      <c r="L29" s="1281"/>
      <c r="M29" s="1282"/>
      <c r="N29" s="1280"/>
      <c r="O29" s="1281"/>
    </row>
    <row r="30" spans="1:15" ht="22.5" customHeight="1" x14ac:dyDescent="0.2">
      <c r="A30" s="3677" t="s">
        <v>26</v>
      </c>
      <c r="B30" s="3678"/>
      <c r="C30" s="3678"/>
      <c r="D30" s="3678"/>
      <c r="E30" s="3678"/>
      <c r="F30" s="3678"/>
      <c r="G30" s="3678"/>
      <c r="H30" s="3679"/>
      <c r="I30" s="1287">
        <f>príjmy!K40</f>
        <v>148228.57</v>
      </c>
      <c r="J30" s="1288">
        <f>príjmy!L40</f>
        <v>97148</v>
      </c>
      <c r="K30" s="1289">
        <f>príjmy!M40</f>
        <v>10000</v>
      </c>
      <c r="L30" s="1288">
        <f>príjmy!O40</f>
        <v>11500</v>
      </c>
      <c r="M30" s="1608">
        <f>príjmy!P40</f>
        <v>11500</v>
      </c>
      <c r="N30" s="1288">
        <f>príjmy!Q40</f>
        <v>10000</v>
      </c>
      <c r="O30" s="1261">
        <f>príjmy!R40</f>
        <v>10000</v>
      </c>
    </row>
    <row r="31" spans="1:15" x14ac:dyDescent="0.2">
      <c r="A31" s="1216" t="s">
        <v>27</v>
      </c>
      <c r="B31" s="3665" t="s">
        <v>28</v>
      </c>
      <c r="C31" s="3665"/>
      <c r="D31" s="3665"/>
      <c r="E31" s="3665"/>
      <c r="F31" s="3665"/>
      <c r="G31" s="3665"/>
      <c r="H31" s="3665"/>
      <c r="I31" s="1220"/>
      <c r="J31" s="1280"/>
      <c r="K31" s="1280"/>
      <c r="L31" s="1280"/>
      <c r="M31" s="1282"/>
      <c r="N31" s="1280"/>
      <c r="O31" s="1281"/>
    </row>
    <row r="32" spans="1:15" s="1222" customFormat="1" ht="22.5" customHeight="1" x14ac:dyDescent="0.2">
      <c r="A32" s="3680" t="s">
        <v>29</v>
      </c>
      <c r="B32" s="3681"/>
      <c r="C32" s="3681"/>
      <c r="D32" s="3681"/>
      <c r="E32" s="3681"/>
      <c r="F32" s="3681"/>
      <c r="G32" s="3681"/>
      <c r="H32" s="3681"/>
      <c r="I32" s="1290">
        <f>príjmy!K41</f>
        <v>28895.62</v>
      </c>
      <c r="J32" s="1291">
        <f>príjmy!L41</f>
        <v>23146</v>
      </c>
      <c r="K32" s="1292">
        <f>príjmy!M41</f>
        <v>20000</v>
      </c>
      <c r="L32" s="1291">
        <f>príjmy!O41</f>
        <v>20000</v>
      </c>
      <c r="M32" s="1609">
        <f>príjmy!P41</f>
        <v>20000</v>
      </c>
      <c r="N32" s="1291">
        <f>príjmy!Q41</f>
        <v>20000</v>
      </c>
      <c r="O32" s="1293">
        <f>príjmy!R41</f>
        <v>20000</v>
      </c>
    </row>
    <row r="33" spans="1:15" x14ac:dyDescent="0.2">
      <c r="A33" s="1213" t="s">
        <v>30</v>
      </c>
      <c r="B33" s="1208" t="s">
        <v>31</v>
      </c>
      <c r="C33" s="1208"/>
      <c r="D33" s="1208"/>
      <c r="E33" s="1208"/>
      <c r="F33" s="1208"/>
      <c r="G33" s="1208"/>
      <c r="H33" s="1208"/>
      <c r="I33" s="1220"/>
      <c r="J33" s="1280"/>
      <c r="K33" s="1280"/>
      <c r="L33" s="1280"/>
      <c r="M33" s="1282"/>
      <c r="N33" s="1280"/>
      <c r="O33" s="1281"/>
    </row>
    <row r="34" spans="1:15" ht="15" customHeight="1" x14ac:dyDescent="0.2">
      <c r="A34" s="3651" t="s">
        <v>32</v>
      </c>
      <c r="B34" s="3652"/>
      <c r="C34" s="3652"/>
      <c r="D34" s="3652"/>
      <c r="E34" s="3652"/>
      <c r="F34" s="3652"/>
      <c r="G34" s="3652"/>
      <c r="H34" s="3652"/>
      <c r="I34" s="1283">
        <f>príjmy!K42</f>
        <v>16399</v>
      </c>
      <c r="J34" s="1285">
        <f>príjmy!L42</f>
        <v>14529</v>
      </c>
      <c r="K34" s="1286">
        <f>príjmy!M42</f>
        <v>10000</v>
      </c>
      <c r="L34" s="1285">
        <f>príjmy!O42</f>
        <v>4500</v>
      </c>
      <c r="M34" s="1610">
        <f>príjmy!P42</f>
        <v>4500</v>
      </c>
      <c r="N34" s="1285">
        <f>príjmy!Q42</f>
        <v>3000</v>
      </c>
      <c r="O34" s="1260">
        <f>príjmy!R42</f>
        <v>3000</v>
      </c>
    </row>
    <row r="35" spans="1:15" ht="15" customHeight="1" x14ac:dyDescent="0.2">
      <c r="A35" s="1217">
        <v>42096</v>
      </c>
      <c r="B35" s="1218" t="s">
        <v>31</v>
      </c>
      <c r="C35" s="1218"/>
      <c r="D35" s="1218"/>
      <c r="E35" s="1218"/>
      <c r="F35" s="1218"/>
      <c r="G35" s="1218"/>
      <c r="H35" s="1218"/>
      <c r="I35" s="1284"/>
      <c r="J35" s="1280"/>
      <c r="K35" s="1280"/>
      <c r="L35" s="1280"/>
      <c r="M35" s="1282"/>
      <c r="N35" s="1280"/>
      <c r="O35" s="1281"/>
    </row>
    <row r="36" spans="1:15" ht="15" customHeight="1" x14ac:dyDescent="0.2">
      <c r="A36" s="1223" t="s">
        <v>677</v>
      </c>
      <c r="B36" s="1219"/>
      <c r="C36" s="1219"/>
      <c r="D36" s="1219"/>
      <c r="E36" s="1219"/>
      <c r="F36" s="1219"/>
      <c r="G36" s="1219"/>
      <c r="H36" s="1219"/>
      <c r="I36" s="1283">
        <f>príjmy!K43</f>
        <v>11412</v>
      </c>
      <c r="J36" s="1285">
        <f>príjmy!L43</f>
        <v>11838</v>
      </c>
      <c r="K36" s="1286">
        <f>príjmy!M43+príjmy!M54</f>
        <v>12000</v>
      </c>
      <c r="L36" s="1285">
        <f>príjmy!O43+príjmy!O54</f>
        <v>16000</v>
      </c>
      <c r="M36" s="1610">
        <f>príjmy!P43</f>
        <v>16000</v>
      </c>
      <c r="N36" s="1285">
        <f>príjmy!Q43</f>
        <v>12000</v>
      </c>
      <c r="O36" s="1260">
        <f>príjmy!R43</f>
        <v>12000</v>
      </c>
    </row>
    <row r="37" spans="1:15" x14ac:dyDescent="0.2">
      <c r="A37" s="1213" t="s">
        <v>36</v>
      </c>
      <c r="B37" s="3665" t="s">
        <v>34</v>
      </c>
      <c r="C37" s="3665"/>
      <c r="D37" s="3665"/>
      <c r="E37" s="3665"/>
      <c r="F37" s="3665"/>
      <c r="G37" s="3665"/>
      <c r="H37" s="3665"/>
      <c r="I37" s="1220"/>
      <c r="J37" s="1280"/>
      <c r="K37" s="1280"/>
      <c r="L37" s="1280"/>
      <c r="M37" s="1282"/>
      <c r="N37" s="1280"/>
      <c r="O37" s="1281"/>
    </row>
    <row r="38" spans="1:15" ht="99.2" customHeight="1" x14ac:dyDescent="0.2">
      <c r="A38" s="3670" t="s">
        <v>35</v>
      </c>
      <c r="B38" s="3671"/>
      <c r="C38" s="3671"/>
      <c r="D38" s="3671"/>
      <c r="E38" s="3671"/>
      <c r="F38" s="3671"/>
      <c r="G38" s="3671"/>
      <c r="H38" s="3671"/>
      <c r="I38" s="1287">
        <f>príjmy!K47+príjmy!K59</f>
        <v>14452.8</v>
      </c>
      <c r="J38" s="1288">
        <f>príjmy!L47+príjmy!L59</f>
        <v>17801</v>
      </c>
      <c r="K38" s="1289">
        <f>príjmy!M47+príjmy!M59</f>
        <v>10150</v>
      </c>
      <c r="L38" s="1288">
        <f>príjmy!O47+príjmy!O59</f>
        <v>8800</v>
      </c>
      <c r="M38" s="1608">
        <f>príjmy!P47+príjmy!P59</f>
        <v>8800</v>
      </c>
      <c r="N38" s="1288">
        <f>príjmy!Q47+príjmy!Q59</f>
        <v>10300</v>
      </c>
      <c r="O38" s="1261">
        <f>príjmy!R47+príjmy!R59</f>
        <v>10300</v>
      </c>
    </row>
    <row r="39" spans="1:15" x14ac:dyDescent="0.2">
      <c r="A39" s="1213" t="s">
        <v>39</v>
      </c>
      <c r="B39" s="1208" t="s">
        <v>37</v>
      </c>
      <c r="C39" s="1208"/>
      <c r="D39" s="1208"/>
      <c r="E39" s="1208"/>
      <c r="F39" s="1208"/>
      <c r="G39" s="1208"/>
      <c r="H39" s="1208"/>
      <c r="I39" s="1220"/>
      <c r="J39" s="1280"/>
      <c r="K39" s="1280"/>
      <c r="L39" s="1280"/>
      <c r="M39" s="1282"/>
      <c r="N39" s="1280"/>
      <c r="O39" s="1281"/>
    </row>
    <row r="40" spans="1:15" ht="45.2" customHeight="1" x14ac:dyDescent="0.2">
      <c r="A40" s="3646" t="s">
        <v>38</v>
      </c>
      <c r="B40" s="3647"/>
      <c r="C40" s="3647"/>
      <c r="D40" s="3647"/>
      <c r="E40" s="3647"/>
      <c r="F40" s="3647"/>
      <c r="G40" s="3647"/>
      <c r="H40" s="3647"/>
      <c r="I40" s="1287">
        <f>príjmy!K48</f>
        <v>3330.65</v>
      </c>
      <c r="J40" s="1288">
        <f>príjmy!L48</f>
        <v>5222</v>
      </c>
      <c r="K40" s="1289">
        <f>príjmy!M48+príjmy!M49+príjmy!M50</f>
        <v>4000</v>
      </c>
      <c r="L40" s="1288">
        <f>príjmy!O48</f>
        <v>5000</v>
      </c>
      <c r="M40" s="1608">
        <f>príjmy!P48</f>
        <v>5000</v>
      </c>
      <c r="N40" s="1288">
        <f>príjmy!Q48</f>
        <v>3000</v>
      </c>
      <c r="O40" s="1261">
        <f>príjmy!R48</f>
        <v>3000</v>
      </c>
    </row>
    <row r="41" spans="1:15" x14ac:dyDescent="0.2">
      <c r="A41" s="1213" t="s">
        <v>41</v>
      </c>
      <c r="B41" s="1224" t="s">
        <v>31</v>
      </c>
      <c r="C41" s="1224"/>
      <c r="D41" s="1224"/>
      <c r="E41" s="1224"/>
      <c r="F41" s="1224"/>
      <c r="G41" s="1224"/>
      <c r="H41" s="1224"/>
      <c r="I41" s="1220"/>
      <c r="J41" s="1280"/>
      <c r="K41" s="1280"/>
      <c r="L41" s="1280"/>
      <c r="M41" s="1282"/>
      <c r="N41" s="1280"/>
      <c r="O41" s="1281"/>
    </row>
    <row r="42" spans="1:15" x14ac:dyDescent="0.2">
      <c r="A42" s="3648" t="s">
        <v>40</v>
      </c>
      <c r="B42" s="3649"/>
      <c r="C42" s="3649"/>
      <c r="D42" s="3649"/>
      <c r="E42" s="3649"/>
      <c r="F42" s="3649"/>
      <c r="G42" s="3649"/>
      <c r="H42" s="3649"/>
      <c r="I42" s="1283">
        <f>príjmy!K52</f>
        <v>8035</v>
      </c>
      <c r="J42" s="1285">
        <f>príjmy!L52</f>
        <v>5861</v>
      </c>
      <c r="K42" s="1286">
        <f>príjmy!M52</f>
        <v>10000</v>
      </c>
      <c r="L42" s="1285">
        <f>príjmy!O52</f>
        <v>4500</v>
      </c>
      <c r="M42" s="1610">
        <f>príjmy!P52</f>
        <v>4500</v>
      </c>
      <c r="N42" s="1285">
        <f>príjmy!Q52</f>
        <v>5000</v>
      </c>
      <c r="O42" s="1260">
        <f>príjmy!R52</f>
        <v>5000</v>
      </c>
    </row>
    <row r="43" spans="1:15" x14ac:dyDescent="0.2">
      <c r="A43" s="1213" t="s">
        <v>44</v>
      </c>
      <c r="B43" s="3650" t="s">
        <v>42</v>
      </c>
      <c r="C43" s="3650"/>
      <c r="D43" s="3650"/>
      <c r="E43" s="3650"/>
      <c r="F43" s="3650"/>
      <c r="G43" s="3650"/>
      <c r="H43" s="3650"/>
      <c r="I43" s="1220"/>
      <c r="J43" s="1280"/>
      <c r="K43" s="1280"/>
      <c r="L43" s="1280"/>
      <c r="M43" s="1282"/>
      <c r="N43" s="1280"/>
      <c r="O43" s="1281"/>
    </row>
    <row r="44" spans="1:15" ht="22.5" customHeight="1" x14ac:dyDescent="0.2">
      <c r="A44" s="3651" t="s">
        <v>43</v>
      </c>
      <c r="B44" s="3652"/>
      <c r="C44" s="3652"/>
      <c r="D44" s="3652"/>
      <c r="E44" s="3652"/>
      <c r="F44" s="3652"/>
      <c r="G44" s="3652"/>
      <c r="H44" s="3652"/>
      <c r="I44" s="1287">
        <f>príjmy!K51</f>
        <v>128</v>
      </c>
      <c r="J44" s="1288">
        <f>príjmy!L51</f>
        <v>178</v>
      </c>
      <c r="K44" s="1289">
        <f>príjmy!M51</f>
        <v>200</v>
      </c>
      <c r="L44" s="1288">
        <f>príjmy!O51</f>
        <v>230</v>
      </c>
      <c r="M44" s="1608">
        <f>príjmy!P51</f>
        <v>230</v>
      </c>
      <c r="N44" s="1288">
        <f>príjmy!Q51</f>
        <v>200</v>
      </c>
      <c r="O44" s="1261">
        <f>príjmy!R51</f>
        <v>200</v>
      </c>
    </row>
    <row r="45" spans="1:15" s="3298" customFormat="1" ht="22.5" customHeight="1" x14ac:dyDescent="0.2">
      <c r="A45" s="1213" t="s">
        <v>46</v>
      </c>
      <c r="B45" s="3650" t="s">
        <v>42</v>
      </c>
      <c r="C45" s="3650"/>
      <c r="D45" s="3650"/>
      <c r="E45" s="3650"/>
      <c r="F45" s="3650"/>
      <c r="G45" s="3650"/>
      <c r="H45" s="3650"/>
      <c r="I45" s="1220"/>
      <c r="J45" s="1280"/>
      <c r="K45" s="1280"/>
      <c r="L45" s="1280"/>
      <c r="M45" s="1282"/>
      <c r="N45" s="1280"/>
      <c r="O45" s="1281"/>
    </row>
    <row r="46" spans="1:15" s="3298" customFormat="1" ht="22.5" customHeight="1" x14ac:dyDescent="0.2">
      <c r="A46" s="3651" t="s">
        <v>993</v>
      </c>
      <c r="B46" s="3662"/>
      <c r="C46" s="3662"/>
      <c r="D46" s="3662"/>
      <c r="E46" s="3662"/>
      <c r="F46" s="3662"/>
      <c r="G46" s="3662"/>
      <c r="H46" s="3662"/>
      <c r="I46" s="3300"/>
      <c r="J46" s="1289"/>
      <c r="K46" s="1289"/>
      <c r="L46" s="1288">
        <f>príjmy!O49+príjmy!O50</f>
        <v>70700</v>
      </c>
      <c r="M46" s="1608">
        <f>príjmy!P49</f>
        <v>60000</v>
      </c>
      <c r="N46" s="1288">
        <f>príjmy!Q49</f>
        <v>70000</v>
      </c>
      <c r="O46" s="1261">
        <f>príjmy!R49</f>
        <v>70000</v>
      </c>
    </row>
    <row r="47" spans="1:15" x14ac:dyDescent="0.2">
      <c r="A47" s="1213" t="s">
        <v>49</v>
      </c>
      <c r="B47" s="3650" t="s">
        <v>45</v>
      </c>
      <c r="C47" s="3650"/>
      <c r="D47" s="3650"/>
      <c r="E47" s="3650"/>
      <c r="F47" s="3650"/>
      <c r="G47" s="3650"/>
      <c r="H47" s="3650"/>
      <c r="I47" s="1220"/>
      <c r="J47" s="1280"/>
      <c r="K47" s="1280"/>
      <c r="L47" s="1280"/>
      <c r="M47" s="1282"/>
      <c r="N47" s="1280"/>
      <c r="O47" s="1281"/>
    </row>
    <row r="48" spans="1:15" ht="15" x14ac:dyDescent="0.2">
      <c r="A48" s="1221"/>
      <c r="B48" s="3661"/>
      <c r="C48" s="3661"/>
      <c r="D48" s="3661"/>
      <c r="E48" s="3661"/>
      <c r="F48" s="3661"/>
      <c r="G48" s="3661"/>
      <c r="H48" s="3661"/>
      <c r="I48" s="1287">
        <f>príjmy!K62+príjmy!K63</f>
        <v>0</v>
      </c>
      <c r="J48" s="1288">
        <f>príjmy!L62+príjmy!L63</f>
        <v>0</v>
      </c>
      <c r="K48" s="1289">
        <f>príjmy!M62+príjmy!M63</f>
        <v>0</v>
      </c>
      <c r="L48" s="1288">
        <f>príjmy!O62+príjmy!O63</f>
        <v>0</v>
      </c>
      <c r="M48" s="1608">
        <f>príjmy!P62+príjmy!P63</f>
        <v>0</v>
      </c>
      <c r="N48" s="1288">
        <f>príjmy!Q62+príjmy!Q63</f>
        <v>0</v>
      </c>
      <c r="O48" s="1261">
        <f>príjmy!R62+príjmy!R63</f>
        <v>0</v>
      </c>
    </row>
    <row r="49" spans="1:15" x14ac:dyDescent="0.2">
      <c r="A49" s="1213" t="s">
        <v>52</v>
      </c>
      <c r="B49" s="3650" t="s">
        <v>47</v>
      </c>
      <c r="C49" s="3650"/>
      <c r="D49" s="3650"/>
      <c r="E49" s="3650"/>
      <c r="F49" s="3650"/>
      <c r="G49" s="3650"/>
      <c r="H49" s="3650"/>
      <c r="I49" s="1220"/>
      <c r="J49" s="1280"/>
      <c r="K49" s="1280"/>
      <c r="L49" s="1280"/>
      <c r="M49" s="1282"/>
      <c r="N49" s="1280"/>
      <c r="O49" s="1281"/>
    </row>
    <row r="50" spans="1:15" ht="24.95" customHeight="1" x14ac:dyDescent="0.2">
      <c r="A50" s="3646" t="s">
        <v>48</v>
      </c>
      <c r="B50" s="3647"/>
      <c r="C50" s="3647"/>
      <c r="D50" s="3647"/>
      <c r="E50" s="3647"/>
      <c r="F50" s="3647"/>
      <c r="G50" s="3647"/>
      <c r="H50" s="3647"/>
      <c r="I50" s="1287">
        <f>príjmy!K55+príjmy!K56+príjmy!K58+príjmy!K53</f>
        <v>37206</v>
      </c>
      <c r="J50" s="1288">
        <f>príjmy!L55+príjmy!L56+príjmy!L58+príjmy!L53</f>
        <v>10794</v>
      </c>
      <c r="K50" s="1289">
        <f>príjmy!M55+príjmy!M56+príjmy!M58+príjmy!M53</f>
        <v>9000</v>
      </c>
      <c r="L50" s="1288">
        <f>príjmy!O55+príjmy!O56+príjmy!O58+príjmy!O53</f>
        <v>17000</v>
      </c>
      <c r="M50" s="1608">
        <f>príjmy!P55+príjmy!P56+príjmy!P58+príjmy!P53</f>
        <v>17000</v>
      </c>
      <c r="N50" s="1288">
        <f>príjmy!Q55+príjmy!Q56+príjmy!Q58+príjmy!Q53</f>
        <v>9000</v>
      </c>
      <c r="O50" s="1261">
        <f>príjmy!R55+príjmy!R56+príjmy!R58+príjmy!R53</f>
        <v>9000</v>
      </c>
    </row>
    <row r="51" spans="1:15" x14ac:dyDescent="0.2">
      <c r="A51" s="1216" t="s">
        <v>678</v>
      </c>
      <c r="B51" s="3650" t="s">
        <v>50</v>
      </c>
      <c r="C51" s="3650"/>
      <c r="D51" s="3650"/>
      <c r="E51" s="3650"/>
      <c r="F51" s="3650"/>
      <c r="G51" s="3650"/>
      <c r="H51" s="3650"/>
      <c r="I51" s="1220"/>
      <c r="J51" s="1280"/>
      <c r="K51" s="1280"/>
      <c r="L51" s="1280"/>
      <c r="M51" s="1282"/>
      <c r="N51" s="1280"/>
      <c r="O51" s="1281"/>
    </row>
    <row r="52" spans="1:15" x14ac:dyDescent="0.2">
      <c r="A52" s="3682" t="s">
        <v>51</v>
      </c>
      <c r="B52" s="3683"/>
      <c r="C52" s="3683"/>
      <c r="D52" s="3683"/>
      <c r="E52" s="3683"/>
      <c r="F52" s="3683"/>
      <c r="G52" s="3683"/>
      <c r="H52" s="3683"/>
      <c r="I52" s="1296">
        <f>príjmy!K57</f>
        <v>0</v>
      </c>
      <c r="J52" s="1297">
        <f>príjmy!L57</f>
        <v>6977</v>
      </c>
      <c r="K52" s="1286">
        <f>príjmy!M57</f>
        <v>7000</v>
      </c>
      <c r="L52" s="1297">
        <f>príjmy!O57</f>
        <v>0</v>
      </c>
      <c r="M52" s="1611">
        <f>príjmy!P57</f>
        <v>0</v>
      </c>
      <c r="N52" s="1297">
        <f>príjmy!Q57</f>
        <v>7000</v>
      </c>
      <c r="O52" s="1260">
        <f>príjmy!R57</f>
        <v>7000</v>
      </c>
    </row>
    <row r="53" spans="1:15" x14ac:dyDescent="0.2">
      <c r="A53" s="1213" t="s">
        <v>994</v>
      </c>
      <c r="B53" s="3650" t="s">
        <v>53</v>
      </c>
      <c r="C53" s="3650"/>
      <c r="D53" s="3650"/>
      <c r="E53" s="3650"/>
      <c r="F53" s="3650"/>
      <c r="G53" s="3650"/>
      <c r="H53" s="3650"/>
      <c r="I53" s="1220"/>
      <c r="J53" s="1280"/>
      <c r="K53" s="1280"/>
      <c r="L53" s="1280"/>
      <c r="M53" s="1282"/>
      <c r="N53" s="1280"/>
      <c r="O53" s="1281"/>
    </row>
    <row r="54" spans="1:15" ht="33.950000000000003" customHeight="1" thickBot="1" x14ac:dyDescent="0.25">
      <c r="A54" s="3668" t="s">
        <v>54</v>
      </c>
      <c r="B54" s="3669"/>
      <c r="C54" s="3669"/>
      <c r="D54" s="3669"/>
      <c r="E54" s="3669"/>
      <c r="F54" s="3669"/>
      <c r="G54" s="3669"/>
      <c r="H54" s="3669"/>
      <c r="I54" s="1298">
        <f>príjmy!K64+príjmy!K65+príjmy!K66+príjmy!K68+príjmy!K67</f>
        <v>7830</v>
      </c>
      <c r="J54" s="1299">
        <f>príjmy!L64+príjmy!L65+príjmy!L66+príjmy!L68+príjmy!L67</f>
        <v>4638</v>
      </c>
      <c r="K54" s="1300">
        <f>príjmy!M64+príjmy!M65+príjmy!M66+príjmy!M68+príjmy!M67</f>
        <v>150</v>
      </c>
      <c r="L54" s="1299">
        <f>príjmy!O64+príjmy!O65+príjmy!O66+príjmy!O68+príjmy!O67</f>
        <v>12550</v>
      </c>
      <c r="M54" s="1612">
        <f>príjmy!P64+príjmy!P65+príjmy!P66+príjmy!P68</f>
        <v>1550</v>
      </c>
      <c r="N54" s="1299">
        <f>príjmy!Q64+príjmy!Q65+príjmy!Q66+príjmy!Q68</f>
        <v>200</v>
      </c>
      <c r="O54" s="1301">
        <f>príjmy!R64+príjmy!R65+príjmy!R66+príjmy!R68</f>
        <v>250</v>
      </c>
    </row>
    <row r="55" spans="1:15" ht="24.95" customHeight="1" x14ac:dyDescent="0.2">
      <c r="A55" s="702"/>
      <c r="B55" s="702"/>
      <c r="C55" s="702"/>
      <c r="D55" s="702"/>
      <c r="E55" s="702"/>
      <c r="F55" s="702"/>
      <c r="G55" s="702"/>
      <c r="H55" s="702"/>
      <c r="I55" s="703"/>
    </row>
    <row r="56" spans="1:15" ht="24.95" customHeight="1" x14ac:dyDescent="0.2">
      <c r="A56" s="702"/>
      <c r="B56" s="702"/>
      <c r="C56" s="702"/>
      <c r="D56" s="702"/>
      <c r="E56" s="702"/>
      <c r="F56" s="702"/>
      <c r="G56" s="702"/>
      <c r="H56" s="702"/>
      <c r="I56" s="703"/>
    </row>
    <row r="57" spans="1:15" ht="24.95" customHeight="1" x14ac:dyDescent="0.2">
      <c r="A57" s="702"/>
      <c r="B57" s="702"/>
      <c r="C57" s="702"/>
      <c r="D57" s="702"/>
      <c r="E57" s="702"/>
      <c r="F57" s="702"/>
      <c r="G57" s="702"/>
      <c r="H57" s="702"/>
      <c r="I57" s="703"/>
    </row>
    <row r="58" spans="1:15" ht="24.95" customHeight="1" x14ac:dyDescent="0.2">
      <c r="A58" s="702"/>
      <c r="B58" s="702"/>
      <c r="C58" s="702"/>
      <c r="D58" s="702"/>
      <c r="E58" s="702"/>
      <c r="F58" s="702"/>
      <c r="G58" s="702"/>
      <c r="H58" s="702"/>
      <c r="I58" s="703"/>
    </row>
    <row r="59" spans="1:15" ht="24.95" customHeight="1" x14ac:dyDescent="0.2">
      <c r="A59" s="702"/>
      <c r="B59" s="702"/>
      <c r="C59" s="702"/>
      <c r="D59" s="702"/>
      <c r="E59" s="702"/>
      <c r="F59" s="702"/>
      <c r="G59" s="702"/>
      <c r="H59" s="702"/>
      <c r="I59" s="703"/>
    </row>
    <row r="60" spans="1:15" ht="24.95" customHeight="1" x14ac:dyDescent="0.2">
      <c r="A60" s="702"/>
      <c r="B60" s="702"/>
      <c r="C60" s="702"/>
      <c r="D60" s="702"/>
      <c r="E60" s="702"/>
      <c r="F60" s="702"/>
      <c r="G60" s="702"/>
      <c r="H60" s="702"/>
      <c r="I60" s="703"/>
    </row>
    <row r="61" spans="1:15" ht="24.95" customHeight="1" x14ac:dyDescent="0.2">
      <c r="A61" s="702"/>
      <c r="B61" s="702"/>
      <c r="C61" s="702"/>
      <c r="D61" s="702"/>
      <c r="E61" s="702"/>
      <c r="F61" s="702"/>
      <c r="G61" s="702"/>
      <c r="H61" s="702"/>
      <c r="I61" s="703"/>
    </row>
    <row r="62" spans="1:15" ht="24.95" customHeight="1" x14ac:dyDescent="0.2">
      <c r="A62" s="702"/>
      <c r="B62" s="702"/>
      <c r="C62" s="702"/>
      <c r="D62" s="702"/>
      <c r="E62" s="702"/>
      <c r="F62" s="702"/>
      <c r="G62" s="702"/>
      <c r="H62" s="702"/>
      <c r="I62" s="703"/>
    </row>
    <row r="63" spans="1:15" ht="24.95" customHeight="1" x14ac:dyDescent="0.2">
      <c r="A63" s="702"/>
      <c r="B63" s="702"/>
      <c r="C63" s="702"/>
      <c r="D63" s="702"/>
      <c r="E63" s="702"/>
      <c r="F63" s="702"/>
      <c r="G63" s="702"/>
      <c r="H63" s="702"/>
      <c r="I63" s="703"/>
    </row>
    <row r="64" spans="1:15" ht="24.95" customHeight="1" x14ac:dyDescent="0.2">
      <c r="A64" s="702"/>
      <c r="B64" s="702"/>
      <c r="C64" s="702"/>
      <c r="D64" s="702"/>
      <c r="E64" s="702"/>
      <c r="F64" s="702"/>
      <c r="G64" s="702"/>
      <c r="H64" s="702"/>
      <c r="I64" s="703"/>
    </row>
    <row r="65" spans="1:15" ht="24.95" customHeight="1" x14ac:dyDescent="0.2">
      <c r="A65" s="702"/>
      <c r="B65" s="702"/>
      <c r="C65" s="702"/>
      <c r="D65" s="702"/>
      <c r="E65" s="702"/>
      <c r="F65" s="702"/>
      <c r="G65" s="702"/>
      <c r="H65" s="702"/>
      <c r="I65" s="703"/>
    </row>
    <row r="66" spans="1:15" ht="24.95" customHeight="1" x14ac:dyDescent="0.2">
      <c r="A66" s="702"/>
      <c r="B66" s="702"/>
      <c r="C66" s="702"/>
      <c r="D66" s="702"/>
      <c r="E66" s="702"/>
      <c r="F66" s="702"/>
      <c r="G66" s="702"/>
      <c r="H66" s="702"/>
      <c r="I66" s="703"/>
    </row>
    <row r="67" spans="1:15" ht="24.95" customHeight="1" thickBot="1" x14ac:dyDescent="0.25">
      <c r="A67" s="702"/>
      <c r="B67" s="702"/>
      <c r="C67" s="702"/>
      <c r="D67" s="702"/>
      <c r="E67" s="702"/>
      <c r="F67" s="702"/>
      <c r="G67" s="702"/>
      <c r="H67" s="702"/>
      <c r="I67" s="703"/>
    </row>
    <row r="68" spans="1:15" ht="8.4499999999999993" customHeight="1" thickBot="1" x14ac:dyDescent="0.25">
      <c r="A68" s="702"/>
      <c r="B68" s="702"/>
      <c r="C68" s="702"/>
      <c r="D68" s="702"/>
      <c r="E68" s="702"/>
      <c r="F68" s="702"/>
      <c r="G68" s="702"/>
      <c r="H68" s="702"/>
      <c r="I68" s="703"/>
    </row>
    <row r="69" spans="1:15" ht="15.75" thickBot="1" x14ac:dyDescent="0.25">
      <c r="A69" s="3653" t="s">
        <v>55</v>
      </c>
      <c r="B69" s="3654"/>
      <c r="C69" s="3654"/>
      <c r="D69" s="3654"/>
      <c r="E69" s="3654"/>
      <c r="F69" s="3654"/>
      <c r="G69" s="3654"/>
      <c r="H69" s="3654"/>
      <c r="I69" s="1302">
        <f>I71+I72+I73+I74+I75+I76+I77+I78+I79+I80+I81+I82+I83+I84+I85+I86+I87+I88+I89+I90+I91+I92+I94+I95</f>
        <v>104851</v>
      </c>
      <c r="J69" s="1311">
        <f>SUM(J71:J92)+J93+J94+J95</f>
        <v>134665</v>
      </c>
      <c r="K69" s="1311">
        <f>SUM(K71:K92)+K95</f>
        <v>110850</v>
      </c>
      <c r="L69" s="1312">
        <f>SUM(L71:L92)+L94+L95</f>
        <v>184787</v>
      </c>
      <c r="M69" s="1273">
        <f>SUM(M71:M92)+M94+M95</f>
        <v>95518</v>
      </c>
      <c r="N69" s="1313">
        <f>SUM(N71:N92)</f>
        <v>108370</v>
      </c>
      <c r="O69" s="1314">
        <f>SUM(O71:O92)</f>
        <v>102900</v>
      </c>
    </row>
    <row r="70" spans="1:15" ht="15" x14ac:dyDescent="0.2">
      <c r="A70" s="1452"/>
      <c r="B70" s="1504"/>
      <c r="C70" s="1504"/>
      <c r="D70" s="1504"/>
      <c r="E70" s="1504"/>
      <c r="F70" s="1504"/>
      <c r="G70" s="1504"/>
      <c r="H70" s="1505"/>
      <c r="I70" s="1276" t="s">
        <v>960</v>
      </c>
      <c r="J70" s="1276" t="s">
        <v>961</v>
      </c>
      <c r="K70" s="1276" t="s">
        <v>962</v>
      </c>
      <c r="L70" s="1277" t="s">
        <v>963</v>
      </c>
      <c r="M70" s="1315">
        <v>2022</v>
      </c>
      <c r="N70" s="1278">
        <v>2023</v>
      </c>
      <c r="O70" s="1279">
        <v>2024</v>
      </c>
    </row>
    <row r="71" spans="1:15" ht="22.5" customHeight="1" x14ac:dyDescent="0.2">
      <c r="A71" s="1228" t="s">
        <v>56</v>
      </c>
      <c r="B71" s="3691" t="s">
        <v>57</v>
      </c>
      <c r="C71" s="3691"/>
      <c r="D71" s="3691"/>
      <c r="E71" s="3691"/>
      <c r="F71" s="3691"/>
      <c r="G71" s="3691"/>
      <c r="H71" s="3692"/>
      <c r="I71" s="1245">
        <f>príjmy!K83</f>
        <v>0</v>
      </c>
      <c r="J71" s="1294">
        <f>príjmy!L83</f>
        <v>0</v>
      </c>
      <c r="K71" s="1294">
        <f>príjmy!M83</f>
        <v>0</v>
      </c>
      <c r="L71" s="1295">
        <f>príjmy!O83</f>
        <v>0</v>
      </c>
      <c r="M71" s="1613">
        <f>príjmy!P83</f>
        <v>0</v>
      </c>
      <c r="N71" s="1506">
        <f>príjmy!Q83</f>
        <v>0</v>
      </c>
      <c r="O71" s="1307">
        <f>príjmy!R83</f>
        <v>0</v>
      </c>
    </row>
    <row r="72" spans="1:15" ht="22.5" customHeight="1" x14ac:dyDescent="0.2">
      <c r="A72" s="1228" t="s">
        <v>58</v>
      </c>
      <c r="B72" s="1225" t="s">
        <v>638</v>
      </c>
      <c r="C72" s="1225"/>
      <c r="D72" s="1225"/>
      <c r="E72" s="1225"/>
      <c r="F72" s="1225"/>
      <c r="G72" s="1225"/>
      <c r="H72" s="1225"/>
      <c r="I72" s="1245">
        <f>príjmy!K84</f>
        <v>0</v>
      </c>
      <c r="J72" s="1294">
        <f>príjmy!L84</f>
        <v>0</v>
      </c>
      <c r="K72" s="1294">
        <f>príjmy!M84</f>
        <v>0</v>
      </c>
      <c r="L72" s="1295">
        <f>príjmy!O84</f>
        <v>0</v>
      </c>
      <c r="M72" s="1613">
        <f>príjmy!P84</f>
        <v>0</v>
      </c>
      <c r="N72" s="1506">
        <f>príjmy!Q84</f>
        <v>0</v>
      </c>
      <c r="O72" s="1307">
        <f>príjmy!R84</f>
        <v>0</v>
      </c>
    </row>
    <row r="73" spans="1:15" ht="22.5" customHeight="1" x14ac:dyDescent="0.2">
      <c r="A73" s="1228" t="s">
        <v>60</v>
      </c>
      <c r="B73" s="1225" t="s">
        <v>632</v>
      </c>
      <c r="C73" s="1225"/>
      <c r="D73" s="1225"/>
      <c r="E73" s="1225"/>
      <c r="F73" s="1225"/>
      <c r="G73" s="1225"/>
      <c r="H73" s="1225"/>
      <c r="I73" s="1245">
        <f>príjmy!K85+príjmy!K115</f>
        <v>0</v>
      </c>
      <c r="J73" s="1294">
        <f>príjmy!L85</f>
        <v>0</v>
      </c>
      <c r="K73" s="1294">
        <f>príjmy!M85</f>
        <v>0</v>
      </c>
      <c r="L73" s="1295">
        <f>príjmy!O85</f>
        <v>0</v>
      </c>
      <c r="M73" s="1613">
        <f>príjmy!P85</f>
        <v>0</v>
      </c>
      <c r="N73" s="1506">
        <f>príjmy!Q85</f>
        <v>0</v>
      </c>
      <c r="O73" s="1307">
        <f>príjmy!R85</f>
        <v>0</v>
      </c>
    </row>
    <row r="74" spans="1:15" ht="22.5" customHeight="1" x14ac:dyDescent="0.2">
      <c r="A74" s="1229" t="s">
        <v>62</v>
      </c>
      <c r="B74" s="1226" t="s">
        <v>59</v>
      </c>
      <c r="C74" s="1226"/>
      <c r="D74" s="1226"/>
      <c r="E74" s="1226"/>
      <c r="F74" s="1226"/>
      <c r="G74" s="1226"/>
      <c r="H74" s="1226"/>
      <c r="I74" s="1246">
        <f>príjmy!K86</f>
        <v>0</v>
      </c>
      <c r="J74" s="1294">
        <f>príjmy!L86</f>
        <v>0</v>
      </c>
      <c r="K74" s="1294">
        <f>príjmy!M86</f>
        <v>0</v>
      </c>
      <c r="L74" s="1295">
        <f>príjmy!O86</f>
        <v>0</v>
      </c>
      <c r="M74" s="1613">
        <f>príjmy!P86</f>
        <v>0</v>
      </c>
      <c r="N74" s="1506">
        <f>príjmy!Q86</f>
        <v>0</v>
      </c>
      <c r="O74" s="1307">
        <f>príjmy!R86</f>
        <v>0</v>
      </c>
    </row>
    <row r="75" spans="1:15" ht="22.5" customHeight="1" x14ac:dyDescent="0.2">
      <c r="A75" s="1230" t="s">
        <v>64</v>
      </c>
      <c r="B75" s="1227" t="s">
        <v>61</v>
      </c>
      <c r="C75" s="1227"/>
      <c r="D75" s="1227"/>
      <c r="E75" s="1227"/>
      <c r="F75" s="1227"/>
      <c r="G75" s="1227"/>
      <c r="H75" s="1227"/>
      <c r="I75" s="1247">
        <f>príjmy!K87</f>
        <v>6098</v>
      </c>
      <c r="J75" s="1294">
        <f>príjmy!L87</f>
        <v>6606</v>
      </c>
      <c r="K75" s="1294">
        <f>príjmy!M87</f>
        <v>6000</v>
      </c>
      <c r="L75" s="1295">
        <f>príjmy!O87</f>
        <v>6638</v>
      </c>
      <c r="M75" s="1613">
        <f>príjmy!P87</f>
        <v>6638</v>
      </c>
      <c r="N75" s="1506">
        <f>príjmy!Q87</f>
        <v>6500</v>
      </c>
      <c r="O75" s="1307">
        <f>príjmy!R87</f>
        <v>7000</v>
      </c>
    </row>
    <row r="76" spans="1:15" ht="22.5" customHeight="1" x14ac:dyDescent="0.2">
      <c r="A76" s="1229" t="s">
        <v>66</v>
      </c>
      <c r="B76" s="3691" t="s">
        <v>63</v>
      </c>
      <c r="C76" s="3691"/>
      <c r="D76" s="3691"/>
      <c r="E76" s="3691"/>
      <c r="F76" s="3691"/>
      <c r="G76" s="3691"/>
      <c r="H76" s="3692"/>
      <c r="I76" s="1246">
        <f>príjmy!K88</f>
        <v>6737</v>
      </c>
      <c r="J76" s="1294">
        <f>príjmy!L88+príjmy!L90+príjmy!L92+príjmy!L106</f>
        <v>3368</v>
      </c>
      <c r="K76" s="1294">
        <f>príjmy!M88</f>
        <v>3000</v>
      </c>
      <c r="L76" s="1295">
        <f>príjmy!O88+príjmy!O89</f>
        <v>0</v>
      </c>
      <c r="M76" s="1613">
        <f>príjmy!P88</f>
        <v>0</v>
      </c>
      <c r="N76" s="1506">
        <f>príjmy!Q88</f>
        <v>3000</v>
      </c>
      <c r="O76" s="1307">
        <f>príjmy!R88</f>
        <v>3000</v>
      </c>
    </row>
    <row r="77" spans="1:15" ht="22.5" customHeight="1" x14ac:dyDescent="0.2">
      <c r="A77" s="1229" t="s">
        <v>68</v>
      </c>
      <c r="B77" s="3691" t="s">
        <v>65</v>
      </c>
      <c r="C77" s="3691"/>
      <c r="D77" s="3691"/>
      <c r="E77" s="3691"/>
      <c r="F77" s="3691"/>
      <c r="G77" s="3691"/>
      <c r="H77" s="3692"/>
      <c r="I77" s="1246">
        <f>príjmy!K94</f>
        <v>0</v>
      </c>
      <c r="J77" s="1294">
        <f>príjmy!L94</f>
        <v>0</v>
      </c>
      <c r="K77" s="1294">
        <f>príjmy!M94</f>
        <v>0</v>
      </c>
      <c r="L77" s="1295">
        <f>príjmy!O94</f>
        <v>0</v>
      </c>
      <c r="M77" s="1613">
        <f>príjmy!P94</f>
        <v>0</v>
      </c>
      <c r="N77" s="1506">
        <f>príjmy!Q94</f>
        <v>0</v>
      </c>
      <c r="O77" s="1307">
        <f>príjmy!R94</f>
        <v>0</v>
      </c>
    </row>
    <row r="78" spans="1:15" ht="22.5" customHeight="1" x14ac:dyDescent="0.2">
      <c r="A78" s="1229" t="s">
        <v>70</v>
      </c>
      <c r="B78" s="1226" t="s">
        <v>680</v>
      </c>
      <c r="C78" s="1226"/>
      <c r="D78" s="1226"/>
      <c r="E78" s="1226"/>
      <c r="F78" s="1226"/>
      <c r="G78" s="1226"/>
      <c r="H78" s="1226"/>
      <c r="I78" s="1246">
        <f>príjmy!K114</f>
        <v>3000</v>
      </c>
      <c r="J78" s="1294">
        <f>príjmy!L114</f>
        <v>3000</v>
      </c>
      <c r="K78" s="1294">
        <f>príjmy!M114</f>
        <v>3000</v>
      </c>
      <c r="L78" s="1295">
        <f>príjmy!O114</f>
        <v>3000</v>
      </c>
      <c r="M78" s="1613">
        <f>príjmy!P114</f>
        <v>3000</v>
      </c>
      <c r="N78" s="1506">
        <f>príjmy!Q114</f>
        <v>3000</v>
      </c>
      <c r="O78" s="1307">
        <f>príjmy!R114</f>
        <v>3000</v>
      </c>
    </row>
    <row r="79" spans="1:15" ht="22.5" customHeight="1" x14ac:dyDescent="0.2">
      <c r="A79" s="1229" t="s">
        <v>72</v>
      </c>
      <c r="B79" s="1226" t="s">
        <v>67</v>
      </c>
      <c r="C79" s="1226"/>
      <c r="D79" s="1226"/>
      <c r="E79" s="1226"/>
      <c r="F79" s="1226"/>
      <c r="G79" s="1226"/>
      <c r="H79" s="1226"/>
      <c r="I79" s="1246">
        <f>príjmy!K96</f>
        <v>0</v>
      </c>
      <c r="J79" s="1294">
        <f>príjmy!L96</f>
        <v>0</v>
      </c>
      <c r="K79" s="1294">
        <f>príjmy!M96</f>
        <v>0</v>
      </c>
      <c r="L79" s="1295">
        <f>príjmy!O96+príjmy!O95</f>
        <v>0</v>
      </c>
      <c r="M79" s="1613">
        <f>príjmy!P96</f>
        <v>0</v>
      </c>
      <c r="N79" s="1506">
        <f>príjmy!Q96</f>
        <v>0</v>
      </c>
      <c r="O79" s="1307">
        <f>príjmy!R96</f>
        <v>0</v>
      </c>
    </row>
    <row r="80" spans="1:15" ht="22.5" customHeight="1" x14ac:dyDescent="0.2">
      <c r="A80" s="1229" t="s">
        <v>73</v>
      </c>
      <c r="B80" s="1226" t="s">
        <v>69</v>
      </c>
      <c r="C80" s="1226"/>
      <c r="D80" s="1226"/>
      <c r="E80" s="1226"/>
      <c r="F80" s="1226"/>
      <c r="G80" s="1226"/>
      <c r="H80" s="1226"/>
      <c r="I80" s="1246">
        <f>príjmy!K97</f>
        <v>0</v>
      </c>
      <c r="J80" s="1294">
        <f>príjmy!L97</f>
        <v>0</v>
      </c>
      <c r="K80" s="1294">
        <f>príjmy!M97</f>
        <v>0</v>
      </c>
      <c r="L80" s="1295">
        <f>príjmy!O97</f>
        <v>0</v>
      </c>
      <c r="M80" s="1613">
        <f>príjmy!P97</f>
        <v>0</v>
      </c>
      <c r="N80" s="1506">
        <f>príjmy!Q97</f>
        <v>0</v>
      </c>
      <c r="O80" s="1307">
        <f>príjmy!R97</f>
        <v>0</v>
      </c>
    </row>
    <row r="81" spans="1:15" ht="22.5" customHeight="1" x14ac:dyDescent="0.2">
      <c r="A81" s="1229" t="s">
        <v>75</v>
      </c>
      <c r="B81" s="1226" t="s">
        <v>71</v>
      </c>
      <c r="C81" s="1226"/>
      <c r="D81" s="1226"/>
      <c r="E81" s="1226"/>
      <c r="F81" s="1226"/>
      <c r="G81" s="1226"/>
      <c r="H81" s="1226"/>
      <c r="I81" s="1246">
        <f>príjmy!K102</f>
        <v>0</v>
      </c>
      <c r="J81" s="1294">
        <f>príjmy!L102</f>
        <v>0</v>
      </c>
      <c r="K81" s="1294">
        <f>príjmy!M102</f>
        <v>0</v>
      </c>
      <c r="L81" s="1295">
        <f>príjmy!MO102</f>
        <v>0</v>
      </c>
      <c r="M81" s="1613">
        <f>príjmy!P102</f>
        <v>0</v>
      </c>
      <c r="N81" s="1506">
        <f>príjmy!Q102</f>
        <v>0</v>
      </c>
      <c r="O81" s="1307">
        <f>príjmy!R102</f>
        <v>0</v>
      </c>
    </row>
    <row r="82" spans="1:15" ht="22.5" customHeight="1" x14ac:dyDescent="0.2">
      <c r="A82" s="1229" t="s">
        <v>77</v>
      </c>
      <c r="B82" s="1226" t="s">
        <v>640</v>
      </c>
      <c r="C82" s="1226"/>
      <c r="D82" s="1226"/>
      <c r="E82" s="1226"/>
      <c r="F82" s="1226"/>
      <c r="G82" s="1226"/>
      <c r="H82" s="1226"/>
      <c r="I82" s="1246">
        <f>príjmy!K98</f>
        <v>4679</v>
      </c>
      <c r="J82" s="1294">
        <f>príjmy!L98</f>
        <v>5747</v>
      </c>
      <c r="K82" s="1294">
        <f>príjmy!M98</f>
        <v>3000</v>
      </c>
      <c r="L82" s="1295">
        <f>príjmy!O98</f>
        <v>6000</v>
      </c>
      <c r="M82" s="1613">
        <f>príjmy!P98</f>
        <v>3000</v>
      </c>
      <c r="N82" s="1506">
        <f>príjmy!Q98</f>
        <v>3000</v>
      </c>
      <c r="O82" s="1307">
        <f>príjmy!R98</f>
        <v>3000</v>
      </c>
    </row>
    <row r="83" spans="1:15" ht="22.5" customHeight="1" x14ac:dyDescent="0.2">
      <c r="A83" s="1229" t="s">
        <v>78</v>
      </c>
      <c r="B83" s="1226" t="s">
        <v>641</v>
      </c>
      <c r="C83" s="1226"/>
      <c r="D83" s="1226"/>
      <c r="E83" s="1226"/>
      <c r="F83" s="1226"/>
      <c r="G83" s="1226"/>
      <c r="H83" s="1226"/>
      <c r="I83" s="1246">
        <f>príjmy!K99</f>
        <v>0</v>
      </c>
      <c r="J83" s="1294">
        <f>príjmy!L99</f>
        <v>1677</v>
      </c>
      <c r="K83" s="1294">
        <f>príjmy!M99</f>
        <v>1000</v>
      </c>
      <c r="L83" s="1295">
        <f>príjmy!O99</f>
        <v>0</v>
      </c>
      <c r="M83" s="1613">
        <f>príjmy!P99</f>
        <v>0</v>
      </c>
      <c r="N83" s="1506">
        <f>príjmy!Q99</f>
        <v>1000</v>
      </c>
      <c r="O83" s="1307">
        <f>príjmy!R99</f>
        <v>1000</v>
      </c>
    </row>
    <row r="84" spans="1:15" ht="22.5" customHeight="1" x14ac:dyDescent="0.2">
      <c r="A84" s="1229" t="s">
        <v>639</v>
      </c>
      <c r="B84" s="3691" t="s">
        <v>74</v>
      </c>
      <c r="C84" s="3691"/>
      <c r="D84" s="3691"/>
      <c r="E84" s="3691"/>
      <c r="F84" s="3691"/>
      <c r="G84" s="3691"/>
      <c r="H84" s="3692"/>
      <c r="I84" s="1246">
        <f>príjmy!K100</f>
        <v>30088</v>
      </c>
      <c r="J84" s="1294">
        <f>príjmy!L100</f>
        <v>37646</v>
      </c>
      <c r="K84" s="1294">
        <f>príjmy!M100+príjmy!M101</f>
        <v>25500</v>
      </c>
      <c r="L84" s="1295">
        <f>príjmy!O101+príjmy!O100</f>
        <v>32897</v>
      </c>
      <c r="M84" s="1613">
        <f>príjmy!P101+príjmy!P100</f>
        <v>5000</v>
      </c>
      <c r="N84" s="1506">
        <f>príjmy!Q101+príjmy!Q100</f>
        <v>20500</v>
      </c>
      <c r="O84" s="1307">
        <f>príjmy!R101+príjmy!R100</f>
        <v>15500</v>
      </c>
    </row>
    <row r="85" spans="1:15" ht="22.5" customHeight="1" x14ac:dyDescent="0.2">
      <c r="A85" s="1229" t="s">
        <v>642</v>
      </c>
      <c r="B85" s="1226" t="s">
        <v>76</v>
      </c>
      <c r="C85" s="1226"/>
      <c r="D85" s="1226"/>
      <c r="E85" s="1226"/>
      <c r="F85" s="1226"/>
      <c r="G85" s="1226"/>
      <c r="H85" s="1226"/>
      <c r="I85" s="1246">
        <f>príjmy!K82</f>
        <v>0</v>
      </c>
      <c r="J85" s="1294">
        <f>príjmy!L82</f>
        <v>1500</v>
      </c>
      <c r="K85" s="1294">
        <f>príjmy!M82</f>
        <v>1500</v>
      </c>
      <c r="L85" s="1295">
        <f>príjmy!O82</f>
        <v>0</v>
      </c>
      <c r="M85" s="1613">
        <f>príjmy!P82</f>
        <v>0</v>
      </c>
      <c r="N85" s="1506">
        <f>príjmy!Q82</f>
        <v>0</v>
      </c>
      <c r="O85" s="1307">
        <f>príjmy!R82</f>
        <v>0</v>
      </c>
    </row>
    <row r="86" spans="1:15" ht="22.5" customHeight="1" x14ac:dyDescent="0.2">
      <c r="A86" s="1229" t="s">
        <v>643</v>
      </c>
      <c r="B86" s="1226" t="s">
        <v>787</v>
      </c>
      <c r="C86" s="1226"/>
      <c r="D86" s="1226"/>
      <c r="E86" s="1226"/>
      <c r="F86" s="1226"/>
      <c r="G86" s="1226"/>
      <c r="H86" s="1226"/>
      <c r="I86" s="1246">
        <f>príjmy!K103</f>
        <v>0</v>
      </c>
      <c r="J86" s="1294">
        <f>príjmy!L103</f>
        <v>0</v>
      </c>
      <c r="K86" s="1294">
        <f>príjmy!M103</f>
        <v>0</v>
      </c>
      <c r="L86" s="1295">
        <f>príjmy!O103</f>
        <v>0</v>
      </c>
      <c r="M86" s="1613">
        <f>príjmy!P103</f>
        <v>0</v>
      </c>
      <c r="N86" s="1506">
        <f>príjmy!Q103</f>
        <v>0</v>
      </c>
      <c r="O86" s="1307">
        <f>príjmy!R103</f>
        <v>0</v>
      </c>
    </row>
    <row r="87" spans="1:15" ht="22.5" customHeight="1" x14ac:dyDescent="0.2">
      <c r="A87" s="1229" t="s">
        <v>644</v>
      </c>
      <c r="B87" s="3658" t="s">
        <v>767</v>
      </c>
      <c r="C87" s="3658"/>
      <c r="D87" s="3658"/>
      <c r="E87" s="3658"/>
      <c r="F87" s="3658"/>
      <c r="G87" s="3658"/>
      <c r="H87" s="3659"/>
      <c r="I87" s="1247">
        <f>príjmy!K108</f>
        <v>323</v>
      </c>
      <c r="J87" s="1294">
        <f>príjmy!L108</f>
        <v>360</v>
      </c>
      <c r="K87" s="1294">
        <f>príjmy!M104</f>
        <v>0</v>
      </c>
      <c r="L87" s="1295">
        <f>príjmy!O108</f>
        <v>380</v>
      </c>
      <c r="M87" s="1613">
        <f>príjmy!P108</f>
        <v>380</v>
      </c>
      <c r="N87" s="1506">
        <f>príjmy!Q108</f>
        <v>370</v>
      </c>
      <c r="O87" s="1307">
        <f>príjmy!R108</f>
        <v>400</v>
      </c>
    </row>
    <row r="88" spans="1:15" ht="22.5" customHeight="1" x14ac:dyDescent="0.2">
      <c r="A88" s="1231">
        <v>43160</v>
      </c>
      <c r="B88" s="1225" t="s">
        <v>968</v>
      </c>
      <c r="C88" s="1225"/>
      <c r="D88" s="1225"/>
      <c r="E88" s="1225"/>
      <c r="F88" s="1225"/>
      <c r="G88" s="1225"/>
      <c r="H88" s="1225"/>
      <c r="I88" s="1245">
        <f>príjmy!K105</f>
        <v>5368</v>
      </c>
      <c r="J88" s="1294">
        <f>príjmy!L105</f>
        <v>7971</v>
      </c>
      <c r="K88" s="1294">
        <f>príjmy!M105</f>
        <v>1500</v>
      </c>
      <c r="L88" s="1295">
        <f>príjmy!O105</f>
        <v>5607</v>
      </c>
      <c r="M88" s="1613">
        <f>príjmy!P105</f>
        <v>1500</v>
      </c>
      <c r="N88" s="1506">
        <f>príjmy!Q105</f>
        <v>3000</v>
      </c>
      <c r="O88" s="1307">
        <f>príjmy!R105</f>
        <v>0</v>
      </c>
    </row>
    <row r="89" spans="1:15" ht="22.5" customHeight="1" x14ac:dyDescent="0.2">
      <c r="A89" s="1231">
        <v>43525</v>
      </c>
      <c r="B89" s="1225" t="s">
        <v>807</v>
      </c>
      <c r="C89" s="1225"/>
      <c r="D89" s="1225"/>
      <c r="E89" s="1225"/>
      <c r="F89" s="1225"/>
      <c r="G89" s="1225"/>
      <c r="H89" s="1225"/>
      <c r="I89" s="1245">
        <v>0</v>
      </c>
      <c r="J89" s="1294">
        <v>0</v>
      </c>
      <c r="K89" s="1294">
        <f>príjmy!M108</f>
        <v>350</v>
      </c>
      <c r="L89" s="1295">
        <f>príjmy!O109</f>
        <v>0</v>
      </c>
      <c r="M89" s="1613">
        <v>0</v>
      </c>
      <c r="N89" s="1506">
        <v>0</v>
      </c>
      <c r="O89" s="1307">
        <v>0</v>
      </c>
    </row>
    <row r="90" spans="1:15" ht="22.5" customHeight="1" x14ac:dyDescent="0.2">
      <c r="A90" s="1231">
        <v>43891</v>
      </c>
      <c r="B90" s="1225" t="s">
        <v>646</v>
      </c>
      <c r="C90" s="1225"/>
      <c r="D90" s="1225"/>
      <c r="E90" s="1225"/>
      <c r="F90" s="1225"/>
      <c r="G90" s="1225"/>
      <c r="H90" s="1225"/>
      <c r="I90" s="1245">
        <f>príjmy!K107+príjmy!K116</f>
        <v>29390</v>
      </c>
      <c r="J90" s="1294">
        <f>príjmy!L107</f>
        <v>28312</v>
      </c>
      <c r="K90" s="1294">
        <f>príjmy!M107</f>
        <v>40000</v>
      </c>
      <c r="L90" s="1295">
        <f>príjmy!O107</f>
        <v>40000</v>
      </c>
      <c r="M90" s="1613">
        <f>príjmy!P107</f>
        <v>45000</v>
      </c>
      <c r="N90" s="1506">
        <f>príjmy!Q107</f>
        <v>41000</v>
      </c>
      <c r="O90" s="1307">
        <f>príjmy!R107</f>
        <v>42000</v>
      </c>
    </row>
    <row r="91" spans="1:15" ht="22.5" customHeight="1" x14ac:dyDescent="0.2">
      <c r="A91" s="1231">
        <v>44256</v>
      </c>
      <c r="B91" s="1225" t="s">
        <v>635</v>
      </c>
      <c r="C91" s="1225"/>
      <c r="D91" s="1225"/>
      <c r="E91" s="1225"/>
      <c r="F91" s="1225"/>
      <c r="G91" s="1225"/>
      <c r="H91" s="1225"/>
      <c r="I91" s="1245">
        <v>0</v>
      </c>
      <c r="J91" s="1294">
        <f>príjmy!L115</f>
        <v>0</v>
      </c>
      <c r="K91" s="1294">
        <f>príjmy!M115</f>
        <v>0</v>
      </c>
      <c r="L91" s="1295">
        <f>príjmy!O106</f>
        <v>475</v>
      </c>
      <c r="M91" s="1613">
        <f>príjmy!P115</f>
        <v>0</v>
      </c>
      <c r="N91" s="1506">
        <f>príjmy!Q115</f>
        <v>0</v>
      </c>
      <c r="O91" s="1307">
        <f>príjmy!R115</f>
        <v>0</v>
      </c>
    </row>
    <row r="92" spans="1:15" ht="22.5" customHeight="1" x14ac:dyDescent="0.2">
      <c r="A92" s="1503" t="s">
        <v>645</v>
      </c>
      <c r="B92" s="1500" t="s">
        <v>688</v>
      </c>
      <c r="C92" s="1500"/>
      <c r="D92" s="1500"/>
      <c r="E92" s="1500"/>
      <c r="F92" s="1500"/>
      <c r="G92" s="1500"/>
      <c r="H92" s="1501"/>
      <c r="I92" s="1502">
        <f>príjmy!K111</f>
        <v>19168</v>
      </c>
      <c r="J92" s="1294">
        <f>príjmy!L111+príjmy!L109</f>
        <v>38478</v>
      </c>
      <c r="K92" s="1294">
        <f>príjmy!M111</f>
        <v>26000</v>
      </c>
      <c r="L92" s="1295">
        <f>príjmy!O111</f>
        <v>26000</v>
      </c>
      <c r="M92" s="1613">
        <f>príjmy!P111</f>
        <v>31000</v>
      </c>
      <c r="N92" s="1506">
        <f>príjmy!Q111</f>
        <v>27000</v>
      </c>
      <c r="O92" s="1307">
        <f>príjmy!R111</f>
        <v>28000</v>
      </c>
    </row>
    <row r="93" spans="1:15" ht="22.5" customHeight="1" x14ac:dyDescent="0.2">
      <c r="A93" s="1248" t="s">
        <v>703</v>
      </c>
      <c r="B93" s="1233" t="s">
        <v>633</v>
      </c>
      <c r="C93" s="1233"/>
      <c r="D93" s="1233"/>
      <c r="E93" s="1233"/>
      <c r="F93" s="1233"/>
      <c r="G93" s="1233"/>
      <c r="H93" s="1304"/>
      <c r="I93" s="1242"/>
      <c r="J93" s="1294">
        <v>0</v>
      </c>
      <c r="K93" s="1294"/>
      <c r="L93" s="1295"/>
      <c r="M93" s="1613"/>
      <c r="N93" s="1506"/>
      <c r="O93" s="1295"/>
    </row>
    <row r="94" spans="1:15" ht="22.5" customHeight="1" x14ac:dyDescent="0.2">
      <c r="A94" s="1905" t="s">
        <v>704</v>
      </c>
      <c r="B94" s="1907" t="s">
        <v>966</v>
      </c>
      <c r="C94" s="1907"/>
      <c r="D94" s="1907"/>
      <c r="E94" s="1907"/>
      <c r="F94" s="1907"/>
      <c r="G94" s="1907"/>
      <c r="H94" s="1908"/>
      <c r="I94" s="1327">
        <f>príjmy!K110</f>
        <v>0</v>
      </c>
      <c r="J94" s="1328">
        <f>príjmy!L110</f>
        <v>0</v>
      </c>
      <c r="K94" s="1328">
        <f>príjmy!M110</f>
        <v>0</v>
      </c>
      <c r="L94" s="1331">
        <f>príjmy!O110</f>
        <v>61290</v>
      </c>
      <c r="M94" s="1615">
        <f>príjmy!P110</f>
        <v>0</v>
      </c>
      <c r="N94" s="1909"/>
      <c r="O94" s="1331"/>
    </row>
    <row r="95" spans="1:15" ht="22.5" customHeight="1" x14ac:dyDescent="0.2">
      <c r="A95" s="1906" t="s">
        <v>788</v>
      </c>
      <c r="B95" s="1303" t="s">
        <v>967</v>
      </c>
      <c r="C95" s="1233"/>
      <c r="D95" s="1233"/>
      <c r="E95" s="1233"/>
      <c r="F95" s="1233"/>
      <c r="G95" s="1233"/>
      <c r="H95" s="1304"/>
      <c r="I95" s="1242">
        <f>príjmy!K95</f>
        <v>0</v>
      </c>
      <c r="J95" s="1294">
        <f>príjmy!L95</f>
        <v>0</v>
      </c>
      <c r="K95" s="1294">
        <f>príjmy!M95</f>
        <v>0</v>
      </c>
      <c r="L95" s="1294">
        <f>príjmy!O115</f>
        <v>2500</v>
      </c>
      <c r="M95" s="1910">
        <f>príjmy!P95</f>
        <v>0</v>
      </c>
      <c r="N95" s="1294">
        <f>príjmy!Q95</f>
        <v>0</v>
      </c>
      <c r="O95" s="1294">
        <f>príjmy!R95</f>
        <v>0</v>
      </c>
    </row>
    <row r="96" spans="1:15" ht="22.5" customHeight="1" x14ac:dyDescent="0.2">
      <c r="A96" s="1497"/>
      <c r="B96" s="1227"/>
      <c r="C96" s="1227"/>
      <c r="D96" s="1227"/>
      <c r="E96" s="1227"/>
      <c r="F96" s="1227"/>
      <c r="G96" s="1227"/>
      <c r="H96" s="1227"/>
      <c r="I96" s="1498"/>
      <c r="J96" s="1499"/>
      <c r="K96" s="1499"/>
      <c r="L96" s="1499"/>
      <c r="M96" s="1499"/>
      <c r="N96" s="1499"/>
      <c r="O96" s="1499"/>
    </row>
    <row r="97" spans="1:15" ht="22.5" customHeight="1" x14ac:dyDescent="0.2">
      <c r="A97" s="1497"/>
      <c r="B97" s="1227"/>
      <c r="C97" s="1227"/>
      <c r="D97" s="1227"/>
      <c r="E97" s="1227"/>
      <c r="F97" s="1227"/>
      <c r="G97" s="1227"/>
      <c r="H97" s="1227"/>
      <c r="I97" s="1498"/>
      <c r="J97" s="1499"/>
      <c r="K97" s="1499"/>
      <c r="L97" s="1499"/>
      <c r="M97" s="1499"/>
      <c r="N97" s="1499"/>
      <c r="O97" s="1499"/>
    </row>
    <row r="98" spans="1:15" ht="22.5" customHeight="1" x14ac:dyDescent="0.2">
      <c r="A98" s="1497"/>
      <c r="B98" s="1227"/>
      <c r="C98" s="1227"/>
      <c r="D98" s="1227"/>
      <c r="E98" s="1227"/>
      <c r="F98" s="1227"/>
      <c r="G98" s="1227"/>
      <c r="H98" s="1227"/>
      <c r="I98" s="1498"/>
      <c r="J98" s="1499"/>
      <c r="K98" s="1499"/>
      <c r="L98" s="1499"/>
      <c r="M98" s="1499"/>
      <c r="N98" s="1499"/>
      <c r="O98" s="1499"/>
    </row>
    <row r="99" spans="1:15" ht="22.5" customHeight="1" x14ac:dyDescent="0.2">
      <c r="A99" s="1497"/>
      <c r="B99" s="1227"/>
      <c r="C99" s="1227"/>
      <c r="D99" s="1227"/>
      <c r="E99" s="1227"/>
      <c r="F99" s="1227"/>
      <c r="G99" s="1227"/>
      <c r="H99" s="1227"/>
      <c r="I99" s="1498"/>
      <c r="J99" s="1499"/>
      <c r="K99" s="1499"/>
      <c r="L99" s="1499"/>
      <c r="M99" s="1499"/>
      <c r="N99" s="1499"/>
      <c r="O99" s="1499"/>
    </row>
    <row r="100" spans="1:15" ht="22.5" customHeight="1" x14ac:dyDescent="0.2">
      <c r="A100" s="1497"/>
      <c r="B100" s="1227"/>
      <c r="C100" s="1227"/>
      <c r="D100" s="1227"/>
      <c r="E100" s="1227"/>
      <c r="F100" s="1227"/>
      <c r="G100" s="1227"/>
      <c r="H100" s="1227"/>
      <c r="I100" s="1498"/>
      <c r="J100" s="1499"/>
      <c r="K100" s="1499"/>
      <c r="L100" s="1499"/>
      <c r="M100" s="1499"/>
      <c r="N100" s="1499"/>
      <c r="O100" s="1499"/>
    </row>
    <row r="101" spans="1:15" ht="22.5" customHeight="1" x14ac:dyDescent="0.2">
      <c r="A101" s="1497"/>
      <c r="B101" s="1227"/>
      <c r="C101" s="1227"/>
      <c r="D101" s="1227"/>
      <c r="E101" s="1227"/>
      <c r="F101" s="1227"/>
      <c r="G101" s="1227"/>
      <c r="H101" s="1227"/>
      <c r="I101" s="1498"/>
      <c r="J101" s="1499"/>
      <c r="K101" s="1499"/>
      <c r="L101" s="1499"/>
      <c r="M101" s="1499"/>
      <c r="N101" s="1499"/>
      <c r="O101" s="1499"/>
    </row>
    <row r="102" spans="1:15" ht="22.5" customHeight="1" x14ac:dyDescent="0.2">
      <c r="A102" s="1497"/>
      <c r="B102" s="1227"/>
      <c r="C102" s="1227"/>
      <c r="D102" s="1227"/>
      <c r="E102" s="1227"/>
      <c r="F102" s="1227"/>
      <c r="G102" s="1227"/>
      <c r="H102" s="1227"/>
      <c r="I102" s="1498"/>
      <c r="J102" s="1499"/>
      <c r="K102" s="1499"/>
      <c r="L102" s="1499"/>
      <c r="M102" s="1499"/>
      <c r="N102" s="1499"/>
      <c r="O102" s="1499"/>
    </row>
    <row r="103" spans="1:15" ht="22.5" customHeight="1" x14ac:dyDescent="0.2">
      <c r="A103" s="1497"/>
      <c r="B103" s="1227"/>
      <c r="C103" s="1227"/>
      <c r="D103" s="1227"/>
      <c r="E103" s="1227"/>
      <c r="F103" s="1227"/>
      <c r="G103" s="1227"/>
      <c r="H103" s="1227"/>
      <c r="I103" s="1498"/>
      <c r="J103" s="1499"/>
      <c r="K103" s="1499"/>
      <c r="L103" s="1499"/>
      <c r="M103" s="1499"/>
      <c r="N103" s="1499"/>
      <c r="O103" s="1499"/>
    </row>
    <row r="104" spans="1:15" ht="22.5" customHeight="1" x14ac:dyDescent="0.2">
      <c r="A104" s="1497"/>
      <c r="B104" s="1227"/>
      <c r="C104" s="1227"/>
      <c r="D104" s="1227"/>
      <c r="E104" s="1227"/>
      <c r="F104" s="1227"/>
      <c r="G104" s="1227"/>
      <c r="H104" s="1227"/>
      <c r="I104" s="1498"/>
      <c r="J104" s="1499"/>
      <c r="K104" s="1499"/>
      <c r="L104" s="1499"/>
      <c r="M104" s="1499"/>
      <c r="N104" s="1499"/>
      <c r="O104" s="1499"/>
    </row>
    <row r="105" spans="1:15" ht="22.5" hidden="1" customHeight="1" x14ac:dyDescent="0.2">
      <c r="A105" s="1497"/>
      <c r="B105" s="1227"/>
      <c r="C105" s="1227"/>
      <c r="D105" s="1227"/>
      <c r="E105" s="1227"/>
      <c r="F105" s="1227"/>
      <c r="G105" s="1227"/>
      <c r="H105" s="1227"/>
      <c r="I105" s="1498"/>
      <c r="J105" s="1499"/>
      <c r="K105" s="1499"/>
      <c r="L105" s="1499"/>
      <c r="M105" s="1499"/>
      <c r="N105" s="1499"/>
      <c r="O105" s="1499"/>
    </row>
    <row r="106" spans="1:15" ht="22.5" hidden="1" customHeight="1" x14ac:dyDescent="0.2">
      <c r="A106" s="1497"/>
      <c r="B106" s="1227"/>
      <c r="C106" s="1227"/>
      <c r="D106" s="1227"/>
      <c r="E106" s="1227"/>
      <c r="F106" s="1227"/>
      <c r="G106" s="1227"/>
      <c r="H106" s="1227"/>
      <c r="I106" s="1498"/>
      <c r="J106" s="1499"/>
      <c r="K106" s="1499"/>
      <c r="L106" s="1499"/>
      <c r="M106" s="1499"/>
      <c r="N106" s="1499"/>
      <c r="O106" s="1499"/>
    </row>
    <row r="107" spans="1:15" ht="15.75" thickBot="1" x14ac:dyDescent="0.25">
      <c r="A107" s="3"/>
      <c r="B107" s="4"/>
      <c r="C107" s="4"/>
      <c r="D107" s="4"/>
      <c r="E107" s="4"/>
      <c r="F107" s="4"/>
      <c r="G107" s="4"/>
      <c r="H107" s="4"/>
      <c r="I107" s="10"/>
    </row>
    <row r="108" spans="1:15" ht="15.75" thickBot="1" x14ac:dyDescent="0.25">
      <c r="A108" s="3655" t="s">
        <v>79</v>
      </c>
      <c r="B108" s="3656"/>
      <c r="C108" s="3656"/>
      <c r="D108" s="3656"/>
      <c r="E108" s="3656"/>
      <c r="F108" s="3656"/>
      <c r="G108" s="3656"/>
      <c r="H108" s="3657"/>
      <c r="I108" s="3248">
        <f>SUM(I110,I115)</f>
        <v>5822473</v>
      </c>
      <c r="J108" s="1316">
        <f t="shared" ref="J108:O108" si="3">J110+J115</f>
        <v>2970920</v>
      </c>
      <c r="K108" s="1840">
        <f t="shared" si="3"/>
        <v>1812800</v>
      </c>
      <c r="L108" s="1317">
        <f t="shared" si="3"/>
        <v>1729284</v>
      </c>
      <c r="M108" s="1318">
        <f t="shared" si="3"/>
        <v>64250</v>
      </c>
      <c r="N108" s="1319">
        <f t="shared" si="3"/>
        <v>30000</v>
      </c>
      <c r="O108" s="1316">
        <f t="shared" si="3"/>
        <v>20000</v>
      </c>
    </row>
    <row r="109" spans="1:15" ht="15.75" thickBot="1" x14ac:dyDescent="0.25">
      <c r="A109" s="3"/>
      <c r="B109" s="4"/>
      <c r="C109" s="4"/>
      <c r="D109" s="4"/>
      <c r="E109" s="4"/>
      <c r="F109" s="4"/>
      <c r="G109" s="4"/>
      <c r="H109" s="4"/>
      <c r="I109" s="13"/>
    </row>
    <row r="110" spans="1:15" ht="15" x14ac:dyDescent="0.2">
      <c r="A110" s="3629" t="s">
        <v>80</v>
      </c>
      <c r="B110" s="3630"/>
      <c r="C110" s="3630"/>
      <c r="D110" s="3630"/>
      <c r="E110" s="3630"/>
      <c r="F110" s="3630"/>
      <c r="G110" s="3630"/>
      <c r="H110" s="3660"/>
      <c r="I110" s="1239">
        <f>SUM(I112,I113)</f>
        <v>3380</v>
      </c>
      <c r="J110" s="1321">
        <f t="shared" ref="J110:O110" si="4">J112+J113</f>
        <v>11590</v>
      </c>
      <c r="K110" s="1321">
        <f t="shared" si="4"/>
        <v>25000</v>
      </c>
      <c r="L110" s="1322">
        <f t="shared" si="4"/>
        <v>51269</v>
      </c>
      <c r="M110" s="1323">
        <f t="shared" si="4"/>
        <v>50000</v>
      </c>
      <c r="N110" s="1324">
        <f t="shared" si="4"/>
        <v>30000</v>
      </c>
      <c r="O110" s="1322">
        <f t="shared" si="4"/>
        <v>20000</v>
      </c>
    </row>
    <row r="111" spans="1:15" ht="15" x14ac:dyDescent="0.2">
      <c r="A111" s="1234"/>
      <c r="B111" s="1235"/>
      <c r="C111" s="1235"/>
      <c r="D111" s="1235"/>
      <c r="E111" s="1235"/>
      <c r="F111" s="1235"/>
      <c r="G111" s="1235"/>
      <c r="H111" s="1235"/>
      <c r="I111" s="1276" t="s">
        <v>960</v>
      </c>
      <c r="J111" s="1276" t="s">
        <v>961</v>
      </c>
      <c r="K111" s="1276" t="s">
        <v>962</v>
      </c>
      <c r="L111" s="1277" t="s">
        <v>963</v>
      </c>
      <c r="M111" s="1315">
        <v>2022</v>
      </c>
      <c r="N111" s="1278">
        <v>2023</v>
      </c>
      <c r="O111" s="1279">
        <v>2024</v>
      </c>
    </row>
    <row r="112" spans="1:15" ht="22.5" customHeight="1" x14ac:dyDescent="0.2">
      <c r="A112" s="1228" t="s">
        <v>3</v>
      </c>
      <c r="B112" s="3645" t="s">
        <v>648</v>
      </c>
      <c r="C112" s="3645"/>
      <c r="D112" s="3645"/>
      <c r="E112" s="3645"/>
      <c r="F112" s="3645"/>
      <c r="G112" s="3645"/>
      <c r="H112" s="3645"/>
      <c r="I112" s="1242">
        <f>príjmy!K130</f>
        <v>0</v>
      </c>
      <c r="J112" s="1294">
        <f>príjmy!L130</f>
        <v>0</v>
      </c>
      <c r="K112" s="1294">
        <f>príjmy!M130</f>
        <v>0</v>
      </c>
      <c r="L112" s="1295">
        <f>príjmy!O130</f>
        <v>2500</v>
      </c>
      <c r="M112" s="1613">
        <f>príjmy!P130</f>
        <v>0</v>
      </c>
      <c r="N112" s="1306">
        <f>príjmy!Q130</f>
        <v>0</v>
      </c>
      <c r="O112" s="1295">
        <f>príjmy!R130</f>
        <v>0</v>
      </c>
    </row>
    <row r="113" spans="1:15" ht="22.5" customHeight="1" thickBot="1" x14ac:dyDescent="0.25">
      <c r="A113" s="1237" t="s">
        <v>6</v>
      </c>
      <c r="B113" s="1238" t="s">
        <v>647</v>
      </c>
      <c r="C113" s="1238"/>
      <c r="D113" s="1238"/>
      <c r="E113" s="1238"/>
      <c r="F113" s="1238"/>
      <c r="G113" s="1238"/>
      <c r="H113" s="1238"/>
      <c r="I113" s="1244">
        <f>príjmy!K131</f>
        <v>3380</v>
      </c>
      <c r="J113" s="1308">
        <f>príjmy!L131</f>
        <v>11590</v>
      </c>
      <c r="K113" s="1308">
        <f>príjmy!M131</f>
        <v>25000</v>
      </c>
      <c r="L113" s="1325">
        <f>príjmy!O131</f>
        <v>48769</v>
      </c>
      <c r="M113" s="1614">
        <f>príjmy!P131</f>
        <v>50000</v>
      </c>
      <c r="N113" s="1310">
        <f>príjmy!Q131</f>
        <v>30000</v>
      </c>
      <c r="O113" s="1325">
        <f>príjmy!R131</f>
        <v>20000</v>
      </c>
    </row>
    <row r="114" spans="1:15" ht="13.5" thickBot="1" x14ac:dyDescent="0.25">
      <c r="A114" s="11"/>
      <c r="B114" s="12"/>
      <c r="C114" s="12"/>
      <c r="D114" s="12"/>
      <c r="E114" s="12"/>
      <c r="F114" s="12"/>
      <c r="G114" s="12"/>
      <c r="H114" s="12"/>
      <c r="I114" s="13"/>
    </row>
    <row r="115" spans="1:15" ht="15" x14ac:dyDescent="0.2">
      <c r="A115" s="3629" t="s">
        <v>81</v>
      </c>
      <c r="B115" s="3630"/>
      <c r="C115" s="3630"/>
      <c r="D115" s="3630"/>
      <c r="E115" s="3630"/>
      <c r="F115" s="3630"/>
      <c r="G115" s="3630"/>
      <c r="H115" s="3630"/>
      <c r="I115" s="3249">
        <f>SUM(I117,I118,I119,I120,I121,I124,I126)+I125</f>
        <v>5819093</v>
      </c>
      <c r="J115" s="1321">
        <f t="shared" ref="J115:O115" si="5">SUM(J117:J126)</f>
        <v>2959330</v>
      </c>
      <c r="K115" s="1839">
        <f t="shared" si="5"/>
        <v>1787800</v>
      </c>
      <c r="L115" s="1326">
        <f t="shared" si="5"/>
        <v>1678015</v>
      </c>
      <c r="M115" s="1323">
        <f t="shared" si="5"/>
        <v>14250</v>
      </c>
      <c r="N115" s="1324">
        <f t="shared" si="5"/>
        <v>0</v>
      </c>
      <c r="O115" s="1322">
        <f t="shared" si="5"/>
        <v>0</v>
      </c>
    </row>
    <row r="116" spans="1:15" ht="15" x14ac:dyDescent="0.2">
      <c r="A116" s="1234"/>
      <c r="B116" s="1235"/>
      <c r="C116" s="1235"/>
      <c r="D116" s="1235"/>
      <c r="E116" s="1235"/>
      <c r="F116" s="1235"/>
      <c r="G116" s="1235"/>
      <c r="H116" s="1235"/>
      <c r="I116" s="1276" t="s">
        <v>960</v>
      </c>
      <c r="J116" s="1276" t="s">
        <v>961</v>
      </c>
      <c r="K116" s="1276" t="s">
        <v>962</v>
      </c>
      <c r="L116" s="1277" t="s">
        <v>963</v>
      </c>
      <c r="M116" s="1315">
        <v>2022</v>
      </c>
      <c r="N116" s="1278">
        <v>2023</v>
      </c>
      <c r="O116" s="1279">
        <v>2024</v>
      </c>
    </row>
    <row r="117" spans="1:15" x14ac:dyDescent="0.2">
      <c r="A117" s="1240" t="s">
        <v>24</v>
      </c>
      <c r="B117" s="1226" t="s">
        <v>82</v>
      </c>
      <c r="C117" s="1226"/>
      <c r="D117" s="1226"/>
      <c r="E117" s="1226"/>
      <c r="F117" s="1226"/>
      <c r="G117" s="1226"/>
      <c r="H117" s="1226"/>
      <c r="I117" s="1242">
        <f>príjmy!K143</f>
        <v>159976</v>
      </c>
      <c r="J117" s="1294">
        <f>príjmy!L146</f>
        <v>284526</v>
      </c>
      <c r="K117" s="1294">
        <f>príjmy!M143</f>
        <v>0</v>
      </c>
      <c r="L117" s="1305">
        <f>príjmy!O143</f>
        <v>0</v>
      </c>
      <c r="M117" s="1613">
        <f>príjmy!P143</f>
        <v>0</v>
      </c>
      <c r="N117" s="1306">
        <f>príjmy!Q143</f>
        <v>0</v>
      </c>
      <c r="O117" s="1295">
        <f>príjmy!R143</f>
        <v>0</v>
      </c>
    </row>
    <row r="118" spans="1:15" x14ac:dyDescent="0.2">
      <c r="A118" s="1240" t="s">
        <v>27</v>
      </c>
      <c r="B118" s="1226" t="s">
        <v>809</v>
      </c>
      <c r="C118" s="1226"/>
      <c r="D118" s="1226"/>
      <c r="E118" s="1226"/>
      <c r="F118" s="1226"/>
      <c r="G118" s="1226"/>
      <c r="H118" s="1226"/>
      <c r="I118" s="1242">
        <f>príjmy!K144</f>
        <v>5615422</v>
      </c>
      <c r="J118" s="1294">
        <f>príjmy!L144</f>
        <v>2651080</v>
      </c>
      <c r="K118" s="1294">
        <f>príjmy!M144</f>
        <v>1033550</v>
      </c>
      <c r="L118" s="1305">
        <f>príjmy!O144</f>
        <v>1033074</v>
      </c>
      <c r="M118" s="1613">
        <f>príjmy!P144</f>
        <v>0</v>
      </c>
      <c r="N118" s="1306">
        <f>príjmy!Q144</f>
        <v>0</v>
      </c>
      <c r="O118" s="1295">
        <f>príjmy!R144</f>
        <v>0</v>
      </c>
    </row>
    <row r="119" spans="1:15" x14ac:dyDescent="0.2">
      <c r="A119" s="1240" t="s">
        <v>30</v>
      </c>
      <c r="B119" s="1226" t="s">
        <v>810</v>
      </c>
      <c r="C119" s="1226"/>
      <c r="D119" s="1226"/>
      <c r="E119" s="1226"/>
      <c r="F119" s="1226"/>
      <c r="G119" s="1226"/>
      <c r="H119" s="1226"/>
      <c r="I119" s="1242">
        <f>príjmy!K145</f>
        <v>0</v>
      </c>
      <c r="J119" s="1294">
        <f>príjmy!L145</f>
        <v>0</v>
      </c>
      <c r="K119" s="1294">
        <f>príjmy!M145</f>
        <v>14250</v>
      </c>
      <c r="L119" s="1305">
        <f>príjmy!O145</f>
        <v>0</v>
      </c>
      <c r="M119" s="1613">
        <f>príjmy!P146</f>
        <v>0</v>
      </c>
      <c r="N119" s="1306">
        <f>príjmy!Q146</f>
        <v>0</v>
      </c>
      <c r="O119" s="1295">
        <f>príjmy!R145</f>
        <v>0</v>
      </c>
    </row>
    <row r="120" spans="1:15" x14ac:dyDescent="0.2">
      <c r="A120" s="1240" t="s">
        <v>33</v>
      </c>
      <c r="B120" s="1226" t="s">
        <v>969</v>
      </c>
      <c r="C120" s="1226"/>
      <c r="D120" s="1226"/>
      <c r="E120" s="1226"/>
      <c r="F120" s="1226"/>
      <c r="G120" s="1226"/>
      <c r="H120" s="1226"/>
      <c r="I120" s="1242">
        <f>príjmy!K149</f>
        <v>0</v>
      </c>
      <c r="J120" s="1294">
        <f>príjmy!KL149</f>
        <v>0</v>
      </c>
      <c r="K120" s="1294">
        <f>príjmy!M149</f>
        <v>0</v>
      </c>
      <c r="L120" s="1305">
        <f>príjmy!O135</f>
        <v>1800</v>
      </c>
      <c r="M120" s="1613">
        <f>príjmy!P135</f>
        <v>0</v>
      </c>
      <c r="N120" s="1306">
        <f>príjmy!Q149</f>
        <v>0</v>
      </c>
      <c r="O120" s="1295">
        <f>príjmy!R149</f>
        <v>0</v>
      </c>
    </row>
    <row r="121" spans="1:15" x14ac:dyDescent="0.2">
      <c r="A121" s="1240" t="s">
        <v>36</v>
      </c>
      <c r="B121" s="1226" t="s">
        <v>971</v>
      </c>
      <c r="C121" s="1226"/>
      <c r="D121" s="1226"/>
      <c r="E121" s="1226"/>
      <c r="F121" s="1226"/>
      <c r="G121" s="1226"/>
      <c r="H121" s="1226"/>
      <c r="I121" s="1242">
        <f>príjmy!K147</f>
        <v>0</v>
      </c>
      <c r="J121" s="1294">
        <f>príjmy!KL147</f>
        <v>0</v>
      </c>
      <c r="K121" s="1294">
        <f>príjmy!M147</f>
        <v>0</v>
      </c>
      <c r="L121" s="1305">
        <f>príjmy!O145</f>
        <v>0</v>
      </c>
      <c r="M121" s="1613">
        <f>príjmy!P145</f>
        <v>14250</v>
      </c>
      <c r="N121" s="1306">
        <f>príjmy!Q147</f>
        <v>0</v>
      </c>
      <c r="O121" s="1295">
        <f>príjmy!R147</f>
        <v>0</v>
      </c>
    </row>
    <row r="122" spans="1:15" s="3198" customFormat="1" x14ac:dyDescent="0.2">
      <c r="A122" s="1240" t="s">
        <v>39</v>
      </c>
      <c r="B122" s="1226" t="s">
        <v>970</v>
      </c>
      <c r="C122" s="1226"/>
      <c r="D122" s="1226"/>
      <c r="E122" s="1226"/>
      <c r="F122" s="1226"/>
      <c r="G122" s="1226"/>
      <c r="H122" s="1226"/>
      <c r="I122" s="1242"/>
      <c r="J122" s="1294"/>
      <c r="K122" s="1294"/>
      <c r="L122" s="1613">
        <f>príjmy!O147</f>
        <v>79686</v>
      </c>
      <c r="M122" s="1613">
        <v>0</v>
      </c>
      <c r="N122" s="1306"/>
      <c r="O122" s="1295"/>
    </row>
    <row r="123" spans="1:15" s="3198" customFormat="1" x14ac:dyDescent="0.2">
      <c r="A123" s="1240" t="s">
        <v>41</v>
      </c>
      <c r="B123" s="1226" t="s">
        <v>972</v>
      </c>
      <c r="C123" s="1226"/>
      <c r="D123" s="1226"/>
      <c r="E123" s="1226"/>
      <c r="F123" s="1226"/>
      <c r="G123" s="1226"/>
      <c r="H123" s="1226"/>
      <c r="I123" s="1242"/>
      <c r="J123" s="1294">
        <f>príjmy!L150</f>
        <v>12460</v>
      </c>
      <c r="K123" s="1294"/>
      <c r="L123" s="1305"/>
      <c r="M123" s="1613"/>
      <c r="N123" s="1306"/>
      <c r="O123" s="1295"/>
    </row>
    <row r="124" spans="1:15" x14ac:dyDescent="0.2">
      <c r="A124" s="1240" t="s">
        <v>44</v>
      </c>
      <c r="B124" s="1226" t="s">
        <v>808</v>
      </c>
      <c r="C124" s="1226"/>
      <c r="D124" s="1226"/>
      <c r="E124" s="1226"/>
      <c r="F124" s="1226"/>
      <c r="G124" s="1226"/>
      <c r="H124" s="1226"/>
      <c r="I124" s="1242">
        <f>príjmy!K150</f>
        <v>0</v>
      </c>
      <c r="J124" s="1294">
        <f>príjmy!L148</f>
        <v>11264</v>
      </c>
      <c r="K124" s="1294">
        <f>príjmy!M150</f>
        <v>0</v>
      </c>
      <c r="L124" s="1305">
        <f>príjmy!O148</f>
        <v>0</v>
      </c>
      <c r="M124" s="1613">
        <f>príjmy!P148</f>
        <v>0</v>
      </c>
      <c r="N124" s="1306">
        <f>príjmy!Q148</f>
        <v>0</v>
      </c>
      <c r="O124" s="1295">
        <f>príjmy!R150</f>
        <v>0</v>
      </c>
    </row>
    <row r="125" spans="1:15" s="3198" customFormat="1" ht="13.5" thickBot="1" x14ac:dyDescent="0.25">
      <c r="A125" s="3250" t="s">
        <v>46</v>
      </c>
      <c r="B125" s="1232" t="s">
        <v>797</v>
      </c>
      <c r="C125" s="1225"/>
      <c r="D125" s="1225"/>
      <c r="E125" s="1225"/>
      <c r="F125" s="1225"/>
      <c r="G125" s="1225"/>
      <c r="H125" s="1225"/>
      <c r="I125" s="1242">
        <f>príjmy!K151</f>
        <v>35695</v>
      </c>
      <c r="J125" s="1328"/>
      <c r="K125" s="1328"/>
      <c r="L125" s="1329"/>
      <c r="M125" s="1615"/>
      <c r="N125" s="1330"/>
      <c r="O125" s="1331"/>
    </row>
    <row r="126" spans="1:15" ht="13.5" thickBot="1" x14ac:dyDescent="0.25">
      <c r="A126" s="1241" t="s">
        <v>46</v>
      </c>
      <c r="B126" s="1232" t="s">
        <v>973</v>
      </c>
      <c r="C126" s="1232"/>
      <c r="D126" s="1232"/>
      <c r="E126" s="1232"/>
      <c r="F126" s="1232"/>
      <c r="G126" s="1232"/>
      <c r="H126" s="1232"/>
      <c r="I126" s="1243">
        <f>príjmy!K152+príjmy!K153</f>
        <v>8000</v>
      </c>
      <c r="J126" s="1308">
        <f>príjmy!L152</f>
        <v>0</v>
      </c>
      <c r="K126" s="1308">
        <f>príjmy!M151</f>
        <v>740000</v>
      </c>
      <c r="L126" s="1309">
        <f>príjmy!O151</f>
        <v>563455</v>
      </c>
      <c r="M126" s="1614">
        <f>príjmy!P151</f>
        <v>0</v>
      </c>
      <c r="N126" s="1310">
        <f>príjmy!Q151</f>
        <v>0</v>
      </c>
      <c r="O126" s="1325">
        <f>príjmy!R151</f>
        <v>0</v>
      </c>
    </row>
    <row r="127" spans="1:15" x14ac:dyDescent="0.2">
      <c r="A127" s="11"/>
      <c r="B127" s="12"/>
      <c r="C127" s="12"/>
      <c r="D127" s="12"/>
      <c r="E127" s="12"/>
      <c r="F127" s="12"/>
      <c r="G127" s="12"/>
      <c r="H127" s="12"/>
      <c r="I127" s="13"/>
    </row>
    <row r="128" spans="1:15" hidden="1" x14ac:dyDescent="0.2">
      <c r="A128" s="11"/>
      <c r="B128" s="12"/>
      <c r="C128" s="12"/>
      <c r="D128" s="12"/>
      <c r="E128" s="12"/>
      <c r="F128" s="12"/>
      <c r="G128" s="12"/>
      <c r="H128" s="12"/>
      <c r="I128" s="13"/>
    </row>
    <row r="129" spans="1:15" hidden="1" x14ac:dyDescent="0.2">
      <c r="A129" s="11"/>
      <c r="B129" s="12"/>
      <c r="C129" s="12"/>
      <c r="D129" s="12"/>
      <c r="E129" s="12"/>
      <c r="F129" s="12"/>
      <c r="G129" s="12"/>
      <c r="H129" s="12"/>
      <c r="I129" s="13"/>
    </row>
    <row r="130" spans="1:15" hidden="1" x14ac:dyDescent="0.2">
      <c r="A130" s="11"/>
      <c r="B130" s="12"/>
      <c r="C130" s="12"/>
      <c r="D130" s="12"/>
      <c r="E130" s="12"/>
      <c r="F130" s="12"/>
      <c r="G130" s="12"/>
      <c r="H130" s="12"/>
      <c r="I130" s="13"/>
    </row>
    <row r="131" spans="1:15" ht="13.5" thickBot="1" x14ac:dyDescent="0.25">
      <c r="A131" s="11"/>
      <c r="B131" s="12"/>
      <c r="C131" s="12"/>
      <c r="D131" s="12"/>
      <c r="E131" s="12"/>
      <c r="F131" s="12"/>
      <c r="G131" s="12"/>
      <c r="H131" s="12"/>
      <c r="I131" s="13"/>
    </row>
    <row r="132" spans="1:15" ht="15" x14ac:dyDescent="0.2">
      <c r="A132" s="3631" t="s">
        <v>85</v>
      </c>
      <c r="B132" s="3632"/>
      <c r="C132" s="3632"/>
      <c r="D132" s="3632"/>
      <c r="E132" s="3632"/>
      <c r="F132" s="3632"/>
      <c r="G132" s="3632"/>
      <c r="H132" s="3632"/>
      <c r="I132" s="1837">
        <f t="shared" ref="I132:O132" si="6">SUM(I134:I149)</f>
        <v>6315786</v>
      </c>
      <c r="J132" s="1332">
        <f>SUM(J134:J149)</f>
        <v>2880952</v>
      </c>
      <c r="K132" s="1838">
        <f>SUM(K134:K149)</f>
        <v>90020</v>
      </c>
      <c r="L132" s="1333">
        <f t="shared" si="6"/>
        <v>260725</v>
      </c>
      <c r="M132" s="1604">
        <f t="shared" si="6"/>
        <v>101860.8</v>
      </c>
      <c r="N132" s="1334">
        <f t="shared" si="6"/>
        <v>50</v>
      </c>
      <c r="O132" s="1335">
        <f t="shared" si="6"/>
        <v>50</v>
      </c>
    </row>
    <row r="133" spans="1:15" ht="15" x14ac:dyDescent="0.2">
      <c r="A133" s="1234"/>
      <c r="B133" s="1235"/>
      <c r="C133" s="1235"/>
      <c r="D133" s="1235"/>
      <c r="E133" s="1235"/>
      <c r="F133" s="1235"/>
      <c r="G133" s="1235"/>
      <c r="H133" s="1235"/>
      <c r="I133" s="1276" t="s">
        <v>960</v>
      </c>
      <c r="J133" s="1276" t="s">
        <v>961</v>
      </c>
      <c r="K133" s="1276" t="s">
        <v>962</v>
      </c>
      <c r="L133" s="1277" t="s">
        <v>963</v>
      </c>
      <c r="M133" s="1315">
        <v>2022</v>
      </c>
      <c r="N133" s="1278">
        <v>2023</v>
      </c>
      <c r="O133" s="1279">
        <v>2024</v>
      </c>
    </row>
    <row r="134" spans="1:15" x14ac:dyDescent="0.2">
      <c r="A134" s="1503" t="s">
        <v>3</v>
      </c>
      <c r="B134" s="3251" t="s">
        <v>974</v>
      </c>
      <c r="C134" s="1500"/>
      <c r="D134" s="1500"/>
      <c r="E134" s="1500"/>
      <c r="F134" s="1500"/>
      <c r="G134" s="1500"/>
      <c r="H134" s="3252"/>
      <c r="I134" s="1295">
        <f>príjmy!K177</f>
        <v>31000</v>
      </c>
      <c r="J134" s="1295">
        <f>príjmy!L177</f>
        <v>0</v>
      </c>
      <c r="K134" s="1295">
        <f>príjmy!M177</f>
        <v>0</v>
      </c>
      <c r="L134" s="1295">
        <f>príjmy!O177</f>
        <v>400</v>
      </c>
      <c r="M134" s="1295">
        <f>príjmy!P177</f>
        <v>0</v>
      </c>
      <c r="N134" s="1295">
        <f>príjmy!Q177</f>
        <v>0</v>
      </c>
      <c r="O134" s="1295">
        <f>príjmy!R177</f>
        <v>0</v>
      </c>
    </row>
    <row r="135" spans="1:15" s="3198" customFormat="1" x14ac:dyDescent="0.2">
      <c r="A135" s="1248" t="s">
        <v>6</v>
      </c>
      <c r="B135" s="1303" t="s">
        <v>975</v>
      </c>
      <c r="C135" s="1233"/>
      <c r="D135" s="1233"/>
      <c r="E135" s="1233"/>
      <c r="F135" s="1233"/>
      <c r="G135" s="1233"/>
      <c r="H135" s="1304"/>
      <c r="I135" s="1295">
        <f>príjmy!K178</f>
        <v>0</v>
      </c>
      <c r="J135" s="1295">
        <f>príjmy!L178</f>
        <v>0</v>
      </c>
      <c r="K135" s="1295">
        <f>príjmy!M178</f>
        <v>0</v>
      </c>
      <c r="L135" s="1295">
        <f>príjmy!O178</f>
        <v>3088</v>
      </c>
      <c r="M135" s="1295">
        <f>príjmy!P178</f>
        <v>0</v>
      </c>
      <c r="N135" s="1295">
        <f>príjmy!Q178</f>
        <v>0</v>
      </c>
      <c r="O135" s="1295">
        <f>príjmy!R178</f>
        <v>0</v>
      </c>
    </row>
    <row r="136" spans="1:15" s="3198" customFormat="1" x14ac:dyDescent="0.2">
      <c r="A136" s="1248" t="s">
        <v>9</v>
      </c>
      <c r="B136" s="1303" t="s">
        <v>976</v>
      </c>
      <c r="C136" s="1233"/>
      <c r="D136" s="1233"/>
      <c r="E136" s="1233"/>
      <c r="F136" s="1233"/>
      <c r="G136" s="1233"/>
      <c r="H136" s="1304"/>
      <c r="I136" s="1295">
        <f>príjmy!K179</f>
        <v>0</v>
      </c>
      <c r="J136" s="1295">
        <f>príjmy!L179</f>
        <v>0</v>
      </c>
      <c r="K136" s="1295">
        <f>príjmy!M179</f>
        <v>0</v>
      </c>
      <c r="L136" s="1295">
        <f>príjmy!O179</f>
        <v>5240</v>
      </c>
      <c r="M136" s="1295">
        <f>príjmy!P179</f>
        <v>0</v>
      </c>
      <c r="N136" s="1295">
        <f>príjmy!Q179</f>
        <v>0</v>
      </c>
      <c r="O136" s="1295">
        <f>príjmy!R179</f>
        <v>0</v>
      </c>
    </row>
    <row r="137" spans="1:15" s="3198" customFormat="1" x14ac:dyDescent="0.2">
      <c r="A137" s="1248" t="s">
        <v>12</v>
      </c>
      <c r="B137" s="1303" t="s">
        <v>977</v>
      </c>
      <c r="C137" s="1233"/>
      <c r="D137" s="1233"/>
      <c r="E137" s="1233"/>
      <c r="F137" s="1233"/>
      <c r="G137" s="1233"/>
      <c r="H137" s="1304"/>
      <c r="I137" s="1295">
        <f>príjmy!K180</f>
        <v>0</v>
      </c>
      <c r="J137" s="1295">
        <f>príjmy!L180</f>
        <v>11712</v>
      </c>
      <c r="K137" s="1295">
        <f>príjmy!M180</f>
        <v>0</v>
      </c>
      <c r="L137" s="1295">
        <f>príjmy!O180</f>
        <v>20683</v>
      </c>
      <c r="M137" s="1295">
        <f>príjmy!P180</f>
        <v>22174.799999999999</v>
      </c>
      <c r="N137" s="1295">
        <f>príjmy!Q180</f>
        <v>0</v>
      </c>
      <c r="O137" s="1295">
        <f>príjmy!R180</f>
        <v>0</v>
      </c>
    </row>
    <row r="138" spans="1:15" s="3198" customFormat="1" x14ac:dyDescent="0.2">
      <c r="A138" s="1248" t="s">
        <v>15</v>
      </c>
      <c r="B138" s="1303" t="s">
        <v>956</v>
      </c>
      <c r="C138" s="1233"/>
      <c r="D138" s="1233"/>
      <c r="E138" s="1233"/>
      <c r="F138" s="1233"/>
      <c r="G138" s="1233"/>
      <c r="H138" s="1304"/>
      <c r="I138" s="1295">
        <f>príjmy!K181</f>
        <v>0</v>
      </c>
      <c r="J138" s="1295">
        <f>príjmy!L181</f>
        <v>8000</v>
      </c>
      <c r="K138" s="1295">
        <f>príjmy!M181</f>
        <v>0</v>
      </c>
      <c r="L138" s="1295">
        <f>príjmy!O181</f>
        <v>12539</v>
      </c>
      <c r="M138" s="1295">
        <f>príjmy!P181</f>
        <v>0</v>
      </c>
      <c r="N138" s="1295">
        <f>príjmy!Q181</f>
        <v>0</v>
      </c>
      <c r="O138" s="1295">
        <f>príjmy!R181</f>
        <v>0</v>
      </c>
    </row>
    <row r="139" spans="1:15" s="3198" customFormat="1" x14ac:dyDescent="0.2">
      <c r="A139" s="1248" t="s">
        <v>18</v>
      </c>
      <c r="B139" s="1303" t="s">
        <v>978</v>
      </c>
      <c r="C139" s="1233"/>
      <c r="D139" s="1233"/>
      <c r="E139" s="1233"/>
      <c r="F139" s="1233"/>
      <c r="G139" s="1233"/>
      <c r="H139" s="1304"/>
      <c r="I139" s="1295">
        <f>príjmy!K182</f>
        <v>0</v>
      </c>
      <c r="J139" s="1295">
        <f>príjmy!L182</f>
        <v>29961</v>
      </c>
      <c r="K139" s="1295">
        <f>príjmy!M182</f>
        <v>0</v>
      </c>
      <c r="L139" s="1295">
        <f>príjmy!O182</f>
        <v>0</v>
      </c>
      <c r="M139" s="1295">
        <f>príjmy!P182</f>
        <v>0</v>
      </c>
      <c r="N139" s="1295">
        <f>príjmy!Q182</f>
        <v>0</v>
      </c>
      <c r="O139" s="1295">
        <f>príjmy!R182</f>
        <v>0</v>
      </c>
    </row>
    <row r="140" spans="1:15" s="3198" customFormat="1" x14ac:dyDescent="0.2">
      <c r="A140" s="1248" t="s">
        <v>20</v>
      </c>
      <c r="B140" s="1303" t="s">
        <v>636</v>
      </c>
      <c r="C140" s="1233"/>
      <c r="D140" s="1233"/>
      <c r="E140" s="1233"/>
      <c r="F140" s="1233"/>
      <c r="G140" s="1233"/>
      <c r="H140" s="1304"/>
      <c r="I140" s="1295">
        <f>príjmy!K183</f>
        <v>3180</v>
      </c>
      <c r="J140" s="1295">
        <f>príjmy!L183</f>
        <v>2970</v>
      </c>
      <c r="K140" s="1295">
        <f>príjmy!M183</f>
        <v>0</v>
      </c>
      <c r="L140" s="1295">
        <f>príjmy!O183</f>
        <v>1900</v>
      </c>
      <c r="M140" s="1295">
        <f>príjmy!P183</f>
        <v>0</v>
      </c>
      <c r="N140" s="1295">
        <f>príjmy!Q183</f>
        <v>0</v>
      </c>
      <c r="O140" s="1295">
        <f>príjmy!R183</f>
        <v>0</v>
      </c>
    </row>
    <row r="141" spans="1:15" s="3198" customFormat="1" x14ac:dyDescent="0.2">
      <c r="A141" s="1248" t="s">
        <v>979</v>
      </c>
      <c r="B141" s="1303" t="s">
        <v>980</v>
      </c>
      <c r="C141" s="1233"/>
      <c r="D141" s="1233"/>
      <c r="E141" s="1233"/>
      <c r="F141" s="1233"/>
      <c r="G141" s="1233"/>
      <c r="H141" s="1304"/>
      <c r="I141" s="1295">
        <f>príjmy!K184</f>
        <v>10000</v>
      </c>
      <c r="J141" s="1295">
        <f>príjmy!L184</f>
        <v>34600</v>
      </c>
      <c r="K141" s="1295">
        <f>príjmy!M184</f>
        <v>30000</v>
      </c>
      <c r="L141" s="1295">
        <f>príjmy!O184</f>
        <v>19470</v>
      </c>
      <c r="M141" s="1295">
        <f>príjmy!P184</f>
        <v>0</v>
      </c>
      <c r="N141" s="1295">
        <f>príjmy!Q184</f>
        <v>0</v>
      </c>
      <c r="O141" s="1295">
        <f>príjmy!R184</f>
        <v>0</v>
      </c>
    </row>
    <row r="142" spans="1:15" s="3198" customFormat="1" x14ac:dyDescent="0.2">
      <c r="A142" s="1248" t="s">
        <v>981</v>
      </c>
      <c r="B142" s="1303" t="s">
        <v>982</v>
      </c>
      <c r="C142" s="1233"/>
      <c r="D142" s="1233"/>
      <c r="E142" s="1233"/>
      <c r="F142" s="1233"/>
      <c r="G142" s="1233"/>
      <c r="H142" s="1304"/>
      <c r="I142" s="1295">
        <f>príjmy!K185</f>
        <v>0</v>
      </c>
      <c r="J142" s="1295">
        <f>príjmy!L185</f>
        <v>62602</v>
      </c>
      <c r="K142" s="1295">
        <f>príjmy!M185</f>
        <v>60000</v>
      </c>
      <c r="L142" s="1295">
        <f>príjmy!O185</f>
        <v>0</v>
      </c>
      <c r="M142" s="1295">
        <f>príjmy!P185</f>
        <v>0</v>
      </c>
      <c r="N142" s="1295">
        <f>príjmy!Q185</f>
        <v>0</v>
      </c>
      <c r="O142" s="1295">
        <f>príjmy!R185</f>
        <v>0</v>
      </c>
    </row>
    <row r="143" spans="1:15" s="3198" customFormat="1" x14ac:dyDescent="0.2">
      <c r="A143" s="1248" t="s">
        <v>983</v>
      </c>
      <c r="B143" s="1303" t="s">
        <v>878</v>
      </c>
      <c r="C143" s="1233"/>
      <c r="D143" s="1233"/>
      <c r="E143" s="1233"/>
      <c r="F143" s="1233"/>
      <c r="G143" s="1233"/>
      <c r="H143" s="1304"/>
      <c r="I143" s="1295">
        <f>príjmy!K186</f>
        <v>0</v>
      </c>
      <c r="J143" s="1295">
        <f>príjmy!L186</f>
        <v>0</v>
      </c>
      <c r="K143" s="1295">
        <f>príjmy!M186</f>
        <v>0</v>
      </c>
      <c r="L143" s="1295">
        <f>príjmy!O186</f>
        <v>9955</v>
      </c>
      <c r="M143" s="1295">
        <f>príjmy!P186</f>
        <v>0</v>
      </c>
      <c r="N143" s="1295">
        <f>príjmy!Q186</f>
        <v>0</v>
      </c>
      <c r="O143" s="1295">
        <f>príjmy!R186</f>
        <v>0</v>
      </c>
    </row>
    <row r="144" spans="1:15" x14ac:dyDescent="0.2">
      <c r="A144" s="1248" t="s">
        <v>984</v>
      </c>
      <c r="B144" s="1303" t="s">
        <v>156</v>
      </c>
      <c r="C144" s="1233"/>
      <c r="D144" s="1233"/>
      <c r="E144" s="1233"/>
      <c r="F144" s="1233"/>
      <c r="G144" s="1233"/>
      <c r="H144" s="1233"/>
      <c r="I144" s="1295">
        <f>príjmy!K187</f>
        <v>66770</v>
      </c>
      <c r="J144" s="1295">
        <f>príjmy!L187</f>
        <v>0</v>
      </c>
      <c r="K144" s="1295">
        <f>príjmy!M189</f>
        <v>0</v>
      </c>
      <c r="L144" s="1295">
        <f>príjmy!O189</f>
        <v>0</v>
      </c>
      <c r="M144" s="1295">
        <f>príjmy!P189</f>
        <v>0</v>
      </c>
      <c r="N144" s="1295">
        <f>príjmy!Q189</f>
        <v>0</v>
      </c>
      <c r="O144" s="1295">
        <f>príjmy!R189</f>
        <v>0</v>
      </c>
    </row>
    <row r="145" spans="1:15" x14ac:dyDescent="0.2">
      <c r="A145" s="1248" t="s">
        <v>985</v>
      </c>
      <c r="B145" s="1303" t="s">
        <v>637</v>
      </c>
      <c r="C145" s="1233"/>
      <c r="D145" s="1233"/>
      <c r="E145" s="1233"/>
      <c r="F145" s="1233"/>
      <c r="G145" s="1233"/>
      <c r="H145" s="1304"/>
      <c r="I145" s="1331">
        <f>príjmy!K188</f>
        <v>0</v>
      </c>
      <c r="J145" s="1331">
        <f>príjmy!L188</f>
        <v>0</v>
      </c>
      <c r="K145" s="1331">
        <f>príjmy!M188</f>
        <v>0</v>
      </c>
      <c r="L145" s="1331">
        <f>príjmy!O187</f>
        <v>37440</v>
      </c>
      <c r="M145" s="1331">
        <f>príjmy!P188</f>
        <v>79686</v>
      </c>
      <c r="N145" s="1331">
        <f>príjmy!Q188</f>
        <v>0</v>
      </c>
      <c r="O145" s="1331">
        <f>príjmy!R188</f>
        <v>0</v>
      </c>
    </row>
    <row r="146" spans="1:15" s="3198" customFormat="1" x14ac:dyDescent="0.2">
      <c r="A146" s="1248" t="s">
        <v>986</v>
      </c>
      <c r="B146" s="1303" t="s">
        <v>987</v>
      </c>
      <c r="C146" s="1233"/>
      <c r="D146" s="1233"/>
      <c r="E146" s="1233"/>
      <c r="F146" s="1233"/>
      <c r="G146" s="1233"/>
      <c r="H146" s="1304"/>
      <c r="I146" s="1331">
        <f>príjmy!K189</f>
        <v>0</v>
      </c>
      <c r="J146" s="1331">
        <f>príjmy!L189</f>
        <v>17000</v>
      </c>
      <c r="K146" s="1331">
        <f>príjmy!M189</f>
        <v>0</v>
      </c>
      <c r="L146" s="1331">
        <f>príjmy!O189</f>
        <v>0</v>
      </c>
      <c r="M146" s="1331">
        <f>príjmy!P189</f>
        <v>0</v>
      </c>
      <c r="N146" s="1331">
        <f>príjmy!Q189</f>
        <v>0</v>
      </c>
      <c r="O146" s="1331">
        <f>príjmy!R189</f>
        <v>0</v>
      </c>
    </row>
    <row r="147" spans="1:15" s="3198" customFormat="1" x14ac:dyDescent="0.2">
      <c r="A147" s="1248" t="s">
        <v>988</v>
      </c>
      <c r="B147" s="1303" t="s">
        <v>819</v>
      </c>
      <c r="C147" s="1233"/>
      <c r="D147" s="1233"/>
      <c r="E147" s="1233"/>
      <c r="F147" s="1233"/>
      <c r="G147" s="1233"/>
      <c r="H147" s="1304"/>
      <c r="I147" s="1331">
        <f>príjmy!K190</f>
        <v>32</v>
      </c>
      <c r="J147" s="1331">
        <f>príjmy!L190</f>
        <v>18</v>
      </c>
      <c r="K147" s="1331">
        <f>príjmy!M190</f>
        <v>20</v>
      </c>
      <c r="L147" s="1331">
        <f>príjmy!O190</f>
        <v>10</v>
      </c>
      <c r="M147" s="1331">
        <f>príjmy!P190</f>
        <v>0</v>
      </c>
      <c r="N147" s="1331">
        <f>príjmy!Q190</f>
        <v>50</v>
      </c>
      <c r="O147" s="1331">
        <f>príjmy!R190</f>
        <v>50</v>
      </c>
    </row>
    <row r="148" spans="1:15" x14ac:dyDescent="0.2">
      <c r="A148" s="1230" t="s">
        <v>989</v>
      </c>
      <c r="B148" s="1337" t="s">
        <v>689</v>
      </c>
      <c r="C148" s="1227"/>
      <c r="D148" s="1227"/>
      <c r="E148" s="1227"/>
      <c r="F148" s="1227"/>
      <c r="G148" s="1227"/>
      <c r="H148" s="1227"/>
      <c r="I148" s="1331">
        <f>príjmy!K198</f>
        <v>6204804</v>
      </c>
      <c r="J148" s="1331">
        <f>príjmy!L198</f>
        <v>2662858</v>
      </c>
      <c r="K148" s="1331">
        <f>príjmy!M198</f>
        <v>0</v>
      </c>
      <c r="L148" s="1331">
        <f>príjmy!O198</f>
        <v>0</v>
      </c>
      <c r="M148" s="1331">
        <f>príjmy!P198</f>
        <v>0</v>
      </c>
      <c r="N148" s="1331">
        <f>príjmy!Q198</f>
        <v>0</v>
      </c>
      <c r="O148" s="1331">
        <f>príjmy!R198</f>
        <v>0</v>
      </c>
    </row>
    <row r="149" spans="1:15" ht="13.5" thickBot="1" x14ac:dyDescent="0.25">
      <c r="A149" s="1237" t="s">
        <v>990</v>
      </c>
      <c r="B149" s="1103" t="s">
        <v>991</v>
      </c>
      <c r="C149" s="1238"/>
      <c r="D149" s="1238"/>
      <c r="E149" s="1238"/>
      <c r="F149" s="1238"/>
      <c r="G149" s="1238"/>
      <c r="H149" s="1238"/>
      <c r="I149" s="1325">
        <f>príjmy!K199+príjmy!K200</f>
        <v>0</v>
      </c>
      <c r="J149" s="1325">
        <f>príjmy!L199+príjmy!L200</f>
        <v>51231</v>
      </c>
      <c r="K149" s="1325">
        <f>príjmy!M199+príjmy!M200</f>
        <v>0</v>
      </c>
      <c r="L149" s="1325">
        <f>príjmy!O199+príjmy!O200</f>
        <v>150000</v>
      </c>
      <c r="M149" s="1325">
        <f>príjmy!P199+príjmy!P200</f>
        <v>0</v>
      </c>
      <c r="N149" s="1325">
        <f>príjmy!Q199+príjmy!Q200</f>
        <v>0</v>
      </c>
      <c r="O149" s="1325">
        <f>príjmy!R199+príjmy!R200</f>
        <v>0</v>
      </c>
    </row>
    <row r="150" spans="1:15" x14ac:dyDescent="0.2">
      <c r="A150" s="700"/>
      <c r="B150" s="9"/>
      <c r="C150" s="9"/>
      <c r="D150" s="9"/>
      <c r="E150" s="9"/>
      <c r="F150" s="9"/>
      <c r="G150" s="9"/>
      <c r="H150" s="9"/>
      <c r="I150" s="701"/>
    </row>
    <row r="151" spans="1:15" x14ac:dyDescent="0.2">
      <c r="A151" s="700"/>
      <c r="B151" s="9"/>
      <c r="C151" s="9"/>
      <c r="D151" s="9"/>
      <c r="E151" s="9"/>
      <c r="F151" s="9"/>
      <c r="G151" s="9"/>
      <c r="H151" s="9"/>
      <c r="I151" s="701"/>
    </row>
    <row r="152" spans="1:15" ht="15.75" thickBot="1" x14ac:dyDescent="0.25">
      <c r="A152" s="3635" t="s">
        <v>161</v>
      </c>
      <c r="B152" s="3635"/>
      <c r="C152" s="3635"/>
      <c r="D152" s="3635"/>
      <c r="E152" s="3635"/>
      <c r="F152" s="3635"/>
      <c r="G152" s="3635"/>
      <c r="H152" s="3635"/>
      <c r="I152" s="3635"/>
      <c r="J152" s="3635"/>
      <c r="K152" s="1336"/>
    </row>
    <row r="153" spans="1:15" ht="15" x14ac:dyDescent="0.2">
      <c r="A153" s="1343"/>
      <c r="B153" s="1344"/>
      <c r="C153" s="1344"/>
      <c r="D153" s="1344"/>
      <c r="E153" s="1344"/>
      <c r="F153" s="1344"/>
      <c r="G153" s="1344"/>
      <c r="H153" s="1345"/>
      <c r="I153" s="1276" t="s">
        <v>960</v>
      </c>
      <c r="J153" s="1276" t="s">
        <v>961</v>
      </c>
      <c r="K153" s="1276" t="s">
        <v>962</v>
      </c>
      <c r="L153" s="1277" t="s">
        <v>963</v>
      </c>
      <c r="M153" s="1315">
        <v>2022</v>
      </c>
      <c r="N153" s="1278">
        <v>2023</v>
      </c>
      <c r="O153" s="1279">
        <v>2024</v>
      </c>
    </row>
    <row r="154" spans="1:15" x14ac:dyDescent="0.2">
      <c r="A154" s="3636" t="s">
        <v>162</v>
      </c>
      <c r="B154" s="3637"/>
      <c r="C154" s="3637"/>
      <c r="D154" s="3637"/>
      <c r="E154" s="3637"/>
      <c r="F154" s="3637"/>
      <c r="G154" s="3637"/>
      <c r="H154" s="3638"/>
      <c r="I154" s="1242">
        <f>príjmy!K213</f>
        <v>579222.53</v>
      </c>
      <c r="J154" s="1294">
        <f>príjmy!L213</f>
        <v>701035.64999999991</v>
      </c>
      <c r="K154" s="1294">
        <f>príjmy!M213</f>
        <v>748344</v>
      </c>
      <c r="L154" s="1305">
        <f>príjmy!O213</f>
        <v>694384</v>
      </c>
      <c r="M154" s="1613">
        <f>príjmy!P213</f>
        <v>733896</v>
      </c>
      <c r="N154" s="1306">
        <f>príjmy!Q213</f>
        <v>750726</v>
      </c>
      <c r="O154" s="1295">
        <f>príjmy!R213</f>
        <v>750726</v>
      </c>
    </row>
    <row r="155" spans="1:15" x14ac:dyDescent="0.2">
      <c r="A155" s="3636" t="s">
        <v>163</v>
      </c>
      <c r="B155" s="3637"/>
      <c r="C155" s="3637"/>
      <c r="D155" s="3637"/>
      <c r="E155" s="3637"/>
      <c r="F155" s="3637"/>
      <c r="G155" s="3637"/>
      <c r="H155" s="3638"/>
      <c r="I155" s="1242">
        <f>príjmy!K236</f>
        <v>147418</v>
      </c>
      <c r="J155" s="1294">
        <f>príjmy!L236</f>
        <v>181167.57</v>
      </c>
      <c r="K155" s="1294">
        <f>príjmy!M236</f>
        <v>195117</v>
      </c>
      <c r="L155" s="1305">
        <f>príjmy!O236</f>
        <v>211204</v>
      </c>
      <c r="M155" s="1613">
        <f>príjmy!P236</f>
        <v>225359</v>
      </c>
      <c r="N155" s="1306">
        <f>príjmy!Q236</f>
        <v>240408</v>
      </c>
      <c r="O155" s="1295">
        <f>príjmy!R236</f>
        <v>240408</v>
      </c>
    </row>
    <row r="156" spans="1:15" x14ac:dyDescent="0.2">
      <c r="A156" s="3636" t="s">
        <v>164</v>
      </c>
      <c r="B156" s="3637"/>
      <c r="C156" s="3637"/>
      <c r="D156" s="3637"/>
      <c r="E156" s="3637"/>
      <c r="F156" s="3637"/>
      <c r="G156" s="3637"/>
      <c r="H156" s="3638"/>
      <c r="I156" s="1242">
        <f>príjmy!K252</f>
        <v>26863.559999999994</v>
      </c>
      <c r="J156" s="1294">
        <f>príjmy!L252</f>
        <v>47848.49</v>
      </c>
      <c r="K156" s="1294">
        <f>príjmy!M252</f>
        <v>24500</v>
      </c>
      <c r="L156" s="1305">
        <f>príjmy!O252</f>
        <v>60849</v>
      </c>
      <c r="M156" s="1613">
        <f>príjmy!P252</f>
        <v>63400</v>
      </c>
      <c r="N156" s="1306">
        <f>príjmy!Q252</f>
        <v>37800</v>
      </c>
      <c r="O156" s="1295">
        <f>príjmy!R252</f>
        <v>37800</v>
      </c>
    </row>
    <row r="157" spans="1:15" ht="13.5" thickBot="1" x14ac:dyDescent="0.25">
      <c r="A157" s="3623" t="s">
        <v>161</v>
      </c>
      <c r="B157" s="3624"/>
      <c r="C157" s="3624"/>
      <c r="D157" s="3624"/>
      <c r="E157" s="3624"/>
      <c r="F157" s="3624"/>
      <c r="G157" s="3624"/>
      <c r="H157" s="3625"/>
      <c r="I157" s="1346">
        <f t="shared" ref="I157:O157" si="7">SUM(I154:I156)</f>
        <v>753504.09</v>
      </c>
      <c r="J157" s="1347">
        <f t="shared" si="7"/>
        <v>930051.71</v>
      </c>
      <c r="K157" s="1347">
        <f t="shared" si="7"/>
        <v>967961</v>
      </c>
      <c r="L157" s="1348">
        <f t="shared" si="7"/>
        <v>966437</v>
      </c>
      <c r="M157" s="1341">
        <f t="shared" si="7"/>
        <v>1022655</v>
      </c>
      <c r="N157" s="1349">
        <f t="shared" si="7"/>
        <v>1028934</v>
      </c>
      <c r="O157" s="1350">
        <f t="shared" si="7"/>
        <v>1028934</v>
      </c>
    </row>
    <row r="158" spans="1:15" x14ac:dyDescent="0.2">
      <c r="A158" s="1507"/>
      <c r="B158" s="1507"/>
      <c r="C158" s="1507"/>
      <c r="D158" s="1507"/>
      <c r="E158" s="1507"/>
      <c r="F158" s="1507"/>
      <c r="G158" s="1507"/>
      <c r="H158" s="1507"/>
      <c r="I158" s="1508"/>
      <c r="J158" s="1509"/>
      <c r="K158" s="1509"/>
      <c r="L158" s="1509"/>
      <c r="M158" s="1509"/>
      <c r="N158" s="1509"/>
      <c r="O158" s="1509"/>
    </row>
    <row r="159" spans="1:15" hidden="1" x14ac:dyDescent="0.2">
      <c r="A159" s="1507"/>
      <c r="B159" s="1507"/>
      <c r="C159" s="1507"/>
      <c r="D159" s="1507"/>
      <c r="E159" s="1507"/>
      <c r="F159" s="1507"/>
      <c r="G159" s="1507"/>
      <c r="H159" s="1507"/>
      <c r="I159" s="1508"/>
      <c r="J159" s="1509"/>
      <c r="K159" s="1509"/>
      <c r="L159" s="1509"/>
      <c r="M159" s="1509"/>
      <c r="N159" s="1509"/>
      <c r="O159" s="1509"/>
    </row>
    <row r="160" spans="1:15" hidden="1" x14ac:dyDescent="0.2">
      <c r="A160" s="1507"/>
      <c r="B160" s="1507"/>
      <c r="C160" s="1507"/>
      <c r="D160" s="1507"/>
      <c r="E160" s="1507"/>
      <c r="F160" s="1507"/>
      <c r="G160" s="1507"/>
      <c r="H160" s="1507"/>
      <c r="I160" s="1508"/>
      <c r="J160" s="1509"/>
      <c r="K160" s="1509"/>
      <c r="L160" s="1509"/>
      <c r="M160" s="1509"/>
      <c r="N160" s="1509"/>
      <c r="O160" s="1509"/>
    </row>
    <row r="161" spans="1:15" x14ac:dyDescent="0.2">
      <c r="A161" s="11"/>
      <c r="B161" s="12"/>
      <c r="C161" s="12"/>
      <c r="D161" s="12"/>
      <c r="E161" s="12"/>
      <c r="F161" s="12"/>
      <c r="G161" s="12"/>
      <c r="H161" s="12"/>
      <c r="I161" s="13"/>
    </row>
    <row r="162" spans="1:15" ht="15.75" thickBot="1" x14ac:dyDescent="0.25">
      <c r="A162" s="3693" t="s">
        <v>87</v>
      </c>
      <c r="B162" s="3693"/>
      <c r="C162" s="3693"/>
      <c r="D162" s="3693"/>
      <c r="E162" s="3693"/>
      <c r="F162" s="3693"/>
      <c r="G162" s="3693"/>
      <c r="H162" s="3693"/>
      <c r="I162" s="3693"/>
      <c r="J162" s="3693"/>
      <c r="K162" s="3693"/>
      <c r="L162" s="3693"/>
      <c r="M162" s="3693"/>
      <c r="N162" s="3693"/>
      <c r="O162" s="3693"/>
    </row>
    <row r="163" spans="1:15" ht="15" x14ac:dyDescent="0.2">
      <c r="A163" s="3639"/>
      <c r="B163" s="3640"/>
      <c r="C163" s="3640"/>
      <c r="D163" s="3640"/>
      <c r="E163" s="3640"/>
      <c r="F163" s="3640"/>
      <c r="G163" s="3640"/>
      <c r="H163" s="3641"/>
      <c r="I163" s="1276" t="s">
        <v>960</v>
      </c>
      <c r="J163" s="1276" t="s">
        <v>961</v>
      </c>
      <c r="K163" s="1276" t="s">
        <v>962</v>
      </c>
      <c r="L163" s="1277" t="s">
        <v>963</v>
      </c>
      <c r="M163" s="1315">
        <v>2022</v>
      </c>
      <c r="N163" s="1278">
        <v>2023</v>
      </c>
      <c r="O163" s="1279">
        <v>2024</v>
      </c>
    </row>
    <row r="164" spans="1:15" x14ac:dyDescent="0.2">
      <c r="A164" s="3642" t="s">
        <v>684</v>
      </c>
      <c r="B164" s="3643"/>
      <c r="C164" s="3643"/>
      <c r="D164" s="3643"/>
      <c r="E164" s="3643"/>
      <c r="F164" s="3643"/>
      <c r="G164" s="3643"/>
      <c r="H164" s="3644"/>
      <c r="I164" s="1242">
        <f t="shared" ref="I164:O164" si="8">I3</f>
        <v>1572065.0699999998</v>
      </c>
      <c r="J164" s="1338">
        <f t="shared" si="8"/>
        <v>1575644</v>
      </c>
      <c r="K164" s="1338">
        <f t="shared" si="8"/>
        <v>1436105</v>
      </c>
      <c r="L164" s="1339">
        <f t="shared" si="8"/>
        <v>1565881</v>
      </c>
      <c r="M164" s="1616">
        <f t="shared" si="8"/>
        <v>1486550</v>
      </c>
      <c r="N164" s="1340">
        <f t="shared" si="8"/>
        <v>1605808</v>
      </c>
      <c r="O164" s="1342">
        <f t="shared" si="8"/>
        <v>1675655</v>
      </c>
    </row>
    <row r="165" spans="1:15" x14ac:dyDescent="0.2">
      <c r="A165" s="3626" t="s">
        <v>685</v>
      </c>
      <c r="B165" s="3627"/>
      <c r="C165" s="3627"/>
      <c r="D165" s="3627"/>
      <c r="E165" s="3627"/>
      <c r="F165" s="3627"/>
      <c r="G165" s="3627"/>
      <c r="H165" s="3628"/>
      <c r="I165" s="1242">
        <f t="shared" ref="I165:O165" si="9">I108</f>
        <v>5822473</v>
      </c>
      <c r="J165" s="1338">
        <f t="shared" si="9"/>
        <v>2970920</v>
      </c>
      <c r="K165" s="1338">
        <f t="shared" si="9"/>
        <v>1812800</v>
      </c>
      <c r="L165" s="1339">
        <f t="shared" si="9"/>
        <v>1729284</v>
      </c>
      <c r="M165" s="1616">
        <f t="shared" si="9"/>
        <v>64250</v>
      </c>
      <c r="N165" s="1340">
        <f t="shared" si="9"/>
        <v>30000</v>
      </c>
      <c r="O165" s="1342">
        <f t="shared" si="9"/>
        <v>20000</v>
      </c>
    </row>
    <row r="166" spans="1:15" x14ac:dyDescent="0.2">
      <c r="A166" s="3626" t="s">
        <v>686</v>
      </c>
      <c r="B166" s="3627"/>
      <c r="C166" s="3627"/>
      <c r="D166" s="3627"/>
      <c r="E166" s="3627"/>
      <c r="F166" s="3627"/>
      <c r="G166" s="3627"/>
      <c r="H166" s="3628"/>
      <c r="I166" s="1242">
        <f t="shared" ref="I166:O166" si="10">I132</f>
        <v>6315786</v>
      </c>
      <c r="J166" s="1338">
        <f t="shared" si="10"/>
        <v>2880952</v>
      </c>
      <c r="K166" s="1338">
        <f t="shared" si="10"/>
        <v>90020</v>
      </c>
      <c r="L166" s="1339">
        <f t="shared" si="10"/>
        <v>260725</v>
      </c>
      <c r="M166" s="1616">
        <f t="shared" si="10"/>
        <v>101860.8</v>
      </c>
      <c r="N166" s="1340">
        <f t="shared" si="10"/>
        <v>50</v>
      </c>
      <c r="O166" s="1342">
        <f t="shared" si="10"/>
        <v>50</v>
      </c>
    </row>
    <row r="167" spans="1:15" ht="13.5" thickBot="1" x14ac:dyDescent="0.25">
      <c r="A167" s="3685" t="s">
        <v>687</v>
      </c>
      <c r="B167" s="3686"/>
      <c r="C167" s="3686"/>
      <c r="D167" s="3686"/>
      <c r="E167" s="3686"/>
      <c r="F167" s="3686"/>
      <c r="G167" s="3686"/>
      <c r="H167" s="3687"/>
      <c r="I167" s="1244">
        <f t="shared" ref="I167:O167" si="11">I157</f>
        <v>753504.09</v>
      </c>
      <c r="J167" s="1981">
        <f t="shared" si="11"/>
        <v>930051.71</v>
      </c>
      <c r="K167" s="1981">
        <f t="shared" si="11"/>
        <v>967961</v>
      </c>
      <c r="L167" s="1989">
        <f t="shared" si="11"/>
        <v>966437</v>
      </c>
      <c r="M167" s="1990">
        <f t="shared" si="11"/>
        <v>1022655</v>
      </c>
      <c r="N167" s="1991">
        <f t="shared" si="11"/>
        <v>1028934</v>
      </c>
      <c r="O167" s="1982">
        <f t="shared" si="11"/>
        <v>1028934</v>
      </c>
    </row>
    <row r="168" spans="1:15" ht="13.5" thickBot="1" x14ac:dyDescent="0.25">
      <c r="A168" s="3688" t="s">
        <v>88</v>
      </c>
      <c r="B168" s="3689"/>
      <c r="C168" s="3689"/>
      <c r="D168" s="3689"/>
      <c r="E168" s="3689"/>
      <c r="F168" s="3689"/>
      <c r="G168" s="3689"/>
      <c r="H168" s="3690"/>
      <c r="I168" s="1983">
        <f t="shared" ref="I168:O168" si="12">SUM(I164:I167)</f>
        <v>14463828.16</v>
      </c>
      <c r="J168" s="1984">
        <f t="shared" si="12"/>
        <v>8357567.71</v>
      </c>
      <c r="K168" s="1984">
        <f t="shared" si="12"/>
        <v>4306886</v>
      </c>
      <c r="L168" s="1985">
        <f t="shared" si="12"/>
        <v>4522327</v>
      </c>
      <c r="M168" s="1986">
        <f t="shared" si="12"/>
        <v>2675315.7999999998</v>
      </c>
      <c r="N168" s="1987">
        <f t="shared" si="12"/>
        <v>2664792</v>
      </c>
      <c r="O168" s="1988">
        <f t="shared" si="12"/>
        <v>2724639</v>
      </c>
    </row>
    <row r="169" spans="1:15" x14ac:dyDescent="0.2">
      <c r="A169" s="14"/>
      <c r="B169" s="12"/>
      <c r="C169" s="3633"/>
      <c r="D169" s="3633"/>
      <c r="E169" s="3633"/>
      <c r="F169" s="3633"/>
      <c r="G169" s="3634"/>
      <c r="H169" s="3634"/>
      <c r="I169" s="13"/>
    </row>
    <row r="170" spans="1:15" x14ac:dyDescent="0.2">
      <c r="A170" s="14"/>
      <c r="B170" s="12"/>
      <c r="C170" s="12"/>
      <c r="D170" s="12"/>
      <c r="E170" s="12"/>
      <c r="F170" s="12"/>
      <c r="G170" s="12"/>
      <c r="H170" s="12"/>
      <c r="I170" s="15"/>
    </row>
    <row r="171" spans="1:15" x14ac:dyDescent="0.2">
      <c r="A171" s="14"/>
      <c r="B171" s="12"/>
      <c r="C171" s="12"/>
      <c r="D171" s="12"/>
      <c r="E171" s="12"/>
      <c r="F171" s="12"/>
      <c r="G171" s="12"/>
      <c r="H171" s="12"/>
      <c r="I171" s="15"/>
    </row>
  </sheetData>
  <mergeCells count="59">
    <mergeCell ref="A1:O1"/>
    <mergeCell ref="A166:H166"/>
    <mergeCell ref="A167:H167"/>
    <mergeCell ref="A168:H168"/>
    <mergeCell ref="A8:H8"/>
    <mergeCell ref="B71:H71"/>
    <mergeCell ref="B76:H76"/>
    <mergeCell ref="B77:H77"/>
    <mergeCell ref="B84:H84"/>
    <mergeCell ref="A162:O162"/>
    <mergeCell ref="A3:H3"/>
    <mergeCell ref="A5:H5"/>
    <mergeCell ref="A18:H18"/>
    <mergeCell ref="A12:H12"/>
    <mergeCell ref="B13:H13"/>
    <mergeCell ref="A14:H14"/>
    <mergeCell ref="A10:H10"/>
    <mergeCell ref="B15:H15"/>
    <mergeCell ref="A16:H16"/>
    <mergeCell ref="A34:H34"/>
    <mergeCell ref="A54:H54"/>
    <mergeCell ref="B37:H37"/>
    <mergeCell ref="A38:H38"/>
    <mergeCell ref="A20:H20"/>
    <mergeCell ref="A27:H27"/>
    <mergeCell ref="B29:H29"/>
    <mergeCell ref="A30:H30"/>
    <mergeCell ref="B31:H31"/>
    <mergeCell ref="A32:H32"/>
    <mergeCell ref="A52:H52"/>
    <mergeCell ref="B53:H53"/>
    <mergeCell ref="B112:H112"/>
    <mergeCell ref="A40:H40"/>
    <mergeCell ref="A42:H42"/>
    <mergeCell ref="B43:H43"/>
    <mergeCell ref="A44:H44"/>
    <mergeCell ref="A69:H69"/>
    <mergeCell ref="A108:H108"/>
    <mergeCell ref="B87:H87"/>
    <mergeCell ref="A110:H110"/>
    <mergeCell ref="B47:H47"/>
    <mergeCell ref="B48:H48"/>
    <mergeCell ref="B49:H49"/>
    <mergeCell ref="A50:H50"/>
    <mergeCell ref="B51:H51"/>
    <mergeCell ref="B45:H45"/>
    <mergeCell ref="A46:H46"/>
    <mergeCell ref="A157:H157"/>
    <mergeCell ref="A165:H165"/>
    <mergeCell ref="A115:H115"/>
    <mergeCell ref="A132:H132"/>
    <mergeCell ref="C169:F169"/>
    <mergeCell ref="G169:H169"/>
    <mergeCell ref="A152:J152"/>
    <mergeCell ref="A154:H154"/>
    <mergeCell ref="A155:H155"/>
    <mergeCell ref="A156:H156"/>
    <mergeCell ref="A163:H163"/>
    <mergeCell ref="A164:H164"/>
  </mergeCells>
  <phoneticPr fontId="44" type="noConversion"/>
  <printOptions horizontalCentered="1"/>
  <pageMargins left="0.55118110236220474" right="0.15748031496062992" top="0.59055118110236227" bottom="0.39370078740157483" header="0.51181102362204722" footer="0.51181102362204722"/>
  <pageSetup paperSize="9" scale="94" firstPageNumber="0" fitToHeight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6"/>
  <sheetViews>
    <sheetView zoomScaleNormal="100" workbookViewId="0">
      <selection activeCell="E61" sqref="E61"/>
    </sheetView>
  </sheetViews>
  <sheetFormatPr defaultRowHeight="12.75" x14ac:dyDescent="0.2"/>
  <cols>
    <col min="1" max="1" width="3.5703125" style="147" customWidth="1"/>
    <col min="2" max="2" width="4.140625" style="1" customWidth="1"/>
    <col min="3" max="3" width="9.42578125" customWidth="1"/>
    <col min="4" max="4" width="3.42578125" customWidth="1"/>
    <col min="5" max="5" width="31.42578125" customWidth="1"/>
    <col min="6" max="6" width="8.85546875" customWidth="1"/>
    <col min="7" max="7" width="0" hidden="1" customWidth="1"/>
    <col min="9" max="14" width="8.28515625" customWidth="1"/>
  </cols>
  <sheetData>
    <row r="1" spans="1:14" ht="15.75" x14ac:dyDescent="0.25">
      <c r="B1" s="151" t="s">
        <v>341</v>
      </c>
      <c r="E1" s="151" t="s">
        <v>342</v>
      </c>
      <c r="F1" s="149"/>
      <c r="G1" s="306" t="e">
        <f>G2-G7</f>
        <v>#REF!</v>
      </c>
      <c r="H1" s="306"/>
      <c r="I1" s="306"/>
      <c r="J1" s="306"/>
      <c r="K1" s="306"/>
      <c r="L1" s="159">
        <f>L2-L7</f>
        <v>0</v>
      </c>
      <c r="M1" s="159">
        <f>M2-M7</f>
        <v>0</v>
      </c>
      <c r="N1" s="159">
        <f>N2-N7</f>
        <v>0</v>
      </c>
    </row>
    <row r="2" spans="1:14" ht="15.75" x14ac:dyDescent="0.25">
      <c r="B2" s="151"/>
      <c r="F2" s="306"/>
      <c r="G2" s="306" t="e">
        <f>SUM(G8:G10)</f>
        <v>#REF!</v>
      </c>
      <c r="H2" s="306"/>
      <c r="I2" s="306"/>
      <c r="J2" s="306"/>
      <c r="K2" s="306"/>
      <c r="L2" s="159">
        <f>SUM(L8:L10)</f>
        <v>99500</v>
      </c>
      <c r="M2" s="159">
        <f>SUM(M8:M10)</f>
        <v>105260</v>
      </c>
      <c r="N2" s="159">
        <f>SUM(N8:N10)</f>
        <v>109260</v>
      </c>
    </row>
    <row r="3" spans="1:14" ht="15.75" x14ac:dyDescent="0.25">
      <c r="A3" s="160"/>
      <c r="B3" s="161"/>
      <c r="C3" s="162"/>
      <c r="D3" s="162"/>
      <c r="E3" s="163"/>
      <c r="F3" s="164"/>
      <c r="G3" s="3713" t="s">
        <v>169</v>
      </c>
      <c r="H3" s="3713"/>
      <c r="I3" s="3713"/>
      <c r="J3" s="3713"/>
      <c r="K3" s="3713"/>
      <c r="L3" s="3713"/>
      <c r="M3" s="3713"/>
      <c r="N3" s="3713"/>
    </row>
    <row r="4" spans="1:14" ht="15" customHeight="1" x14ac:dyDescent="0.2">
      <c r="A4" s="165"/>
      <c r="B4" s="166" t="s">
        <v>170</v>
      </c>
      <c r="C4" s="167" t="s">
        <v>171</v>
      </c>
      <c r="D4" s="3715" t="s">
        <v>172</v>
      </c>
      <c r="E4" s="3715"/>
      <c r="F4" s="3715"/>
      <c r="G4" s="168"/>
      <c r="H4" s="890">
        <v>2019</v>
      </c>
      <c r="I4" s="169">
        <v>2020</v>
      </c>
      <c r="J4" s="169" t="s">
        <v>995</v>
      </c>
      <c r="K4" s="169" t="s">
        <v>992</v>
      </c>
      <c r="L4" s="169">
        <v>2022</v>
      </c>
      <c r="M4" s="169">
        <v>2023</v>
      </c>
      <c r="N4" s="169">
        <v>2024</v>
      </c>
    </row>
    <row r="5" spans="1:14" ht="12" customHeight="1" x14ac:dyDescent="0.2">
      <c r="A5" s="165"/>
      <c r="B5" s="166" t="s">
        <v>173</v>
      </c>
      <c r="C5" s="167" t="s">
        <v>174</v>
      </c>
      <c r="D5" s="3715"/>
      <c r="E5" s="3715"/>
      <c r="F5" s="3715"/>
      <c r="G5" s="170" t="s">
        <v>175</v>
      </c>
      <c r="H5" s="307" t="s">
        <v>176</v>
      </c>
      <c r="I5" s="171" t="s">
        <v>177</v>
      </c>
      <c r="J5" s="171" t="s">
        <v>176</v>
      </c>
      <c r="K5" s="171" t="s">
        <v>177</v>
      </c>
      <c r="L5" s="427" t="s">
        <v>176</v>
      </c>
      <c r="M5" s="171" t="s">
        <v>177</v>
      </c>
      <c r="N5" s="171" t="s">
        <v>177</v>
      </c>
    </row>
    <row r="6" spans="1:14" ht="13.5" thickBot="1" x14ac:dyDescent="0.25">
      <c r="A6" s="165"/>
      <c r="B6" s="166" t="s">
        <v>178</v>
      </c>
      <c r="C6" s="167" t="s">
        <v>179</v>
      </c>
      <c r="D6" s="3715"/>
      <c r="E6" s="3715"/>
      <c r="F6" s="3715"/>
      <c r="G6" s="173">
        <v>1</v>
      </c>
      <c r="H6" s="173">
        <v>-3</v>
      </c>
      <c r="I6" s="174">
        <v>-2</v>
      </c>
      <c r="J6" s="174">
        <v>-1</v>
      </c>
      <c r="K6" s="174">
        <v>-1</v>
      </c>
      <c r="L6" s="173">
        <v>0</v>
      </c>
      <c r="M6" s="174">
        <v>1</v>
      </c>
      <c r="N6" s="174">
        <v>2</v>
      </c>
    </row>
    <row r="7" spans="1:14" ht="15" x14ac:dyDescent="0.25">
      <c r="A7" s="183">
        <v>1</v>
      </c>
      <c r="B7" s="177" t="s">
        <v>341</v>
      </c>
      <c r="C7" s="428"/>
      <c r="D7" s="429"/>
      <c r="E7" s="179" t="s">
        <v>342</v>
      </c>
      <c r="F7" s="430"/>
      <c r="G7" s="358" t="e">
        <f>G11+#REF!+#REF!+#REF!+#REF!+#REF!+#REF!+#REF!+#REF!</f>
        <v>#REF!</v>
      </c>
      <c r="H7" s="1823">
        <f>H8+H9+H10</f>
        <v>113908</v>
      </c>
      <c r="I7" s="1824">
        <f>SUM(I8:I10)</f>
        <v>100633</v>
      </c>
      <c r="J7" s="1772">
        <f>J8+J9+J10</f>
        <v>89750</v>
      </c>
      <c r="K7" s="1772">
        <f>SUM(K8:K10)</f>
        <v>87750</v>
      </c>
      <c r="L7" s="1772">
        <f>SUM(L8:L10)</f>
        <v>99500</v>
      </c>
      <c r="M7" s="1772">
        <f>SUM(M8:M10)</f>
        <v>105260</v>
      </c>
      <c r="N7" s="1772">
        <f>SUM(N8:N10)</f>
        <v>109260</v>
      </c>
    </row>
    <row r="8" spans="1:14" x14ac:dyDescent="0.2">
      <c r="A8" s="183">
        <f t="shared" ref="A8:A15" si="0">A7+1</f>
        <v>2</v>
      </c>
      <c r="B8" s="184" t="s">
        <v>181</v>
      </c>
      <c r="C8" s="827" t="s">
        <v>182</v>
      </c>
      <c r="D8" s="828"/>
      <c r="E8" s="829"/>
      <c r="F8" s="830"/>
      <c r="G8" s="831" t="e">
        <f>G12+G20+#REF!+#REF!+#REF!+#REF!+#REF!+#REF!</f>
        <v>#REF!</v>
      </c>
      <c r="H8" s="946">
        <f>H12+H20+H30+H44+H48+H57+H66+H71+H52</f>
        <v>107503</v>
      </c>
      <c r="I8" s="913">
        <f>SUM(I12+I20+I30+I44+I48+I57+I66+I71)+I52</f>
        <v>83404</v>
      </c>
      <c r="J8" s="832">
        <f>J12+J20+J30+J44+J48+J57+J66+J71+J52</f>
        <v>89750</v>
      </c>
      <c r="K8" s="832">
        <f>SUM(K12+K20+K30+K44+K48+K57+K66+K71)+K52</f>
        <v>87750</v>
      </c>
      <c r="L8" s="832">
        <f>SUM(L12+L20+L30+L44+L48+L57+L66+L71)+L52</f>
        <v>99500</v>
      </c>
      <c r="M8" s="832">
        <f>SUM(M12+M20+M30+M44+M48+M57+M66+M71)+M52</f>
        <v>105260</v>
      </c>
      <c r="N8" s="832">
        <f>SUM(N12+N20+N30+N44+N48+N57+N66+N71)+N52</f>
        <v>109260</v>
      </c>
    </row>
    <row r="9" spans="1:14" x14ac:dyDescent="0.2">
      <c r="A9" s="183">
        <f t="shared" si="0"/>
        <v>3</v>
      </c>
      <c r="B9" s="184" t="s">
        <v>183</v>
      </c>
      <c r="C9" s="936" t="s">
        <v>184</v>
      </c>
      <c r="D9" s="937"/>
      <c r="E9" s="938"/>
      <c r="F9" s="939"/>
      <c r="G9" s="940" t="e">
        <f>G25+#REF!+#REF!+#REF!+#REF!</f>
        <v>#REF!</v>
      </c>
      <c r="H9" s="953">
        <f>H25+H41+H62</f>
        <v>6405</v>
      </c>
      <c r="I9" s="941">
        <f>SUM(I25+I41+I62)</f>
        <v>17229</v>
      </c>
      <c r="J9" s="942">
        <f>J25+J41+J62</f>
        <v>0</v>
      </c>
      <c r="K9" s="942">
        <f>SUM(K25+K41+K62)</f>
        <v>0</v>
      </c>
      <c r="L9" s="943">
        <f>SUM(L25+L41+L62)</f>
        <v>0</v>
      </c>
      <c r="M9" s="942">
        <f>SUM(M25+M41+M62)</f>
        <v>0</v>
      </c>
      <c r="N9" s="942">
        <f>SUM(N25+N41+N62)</f>
        <v>0</v>
      </c>
    </row>
    <row r="10" spans="1:14" ht="13.5" thickBot="1" x14ac:dyDescent="0.25">
      <c r="A10" s="183">
        <f t="shared" si="0"/>
        <v>4</v>
      </c>
      <c r="B10" s="187"/>
      <c r="C10" s="855" t="s">
        <v>185</v>
      </c>
      <c r="D10" s="856"/>
      <c r="E10" s="857"/>
      <c r="F10" s="858"/>
      <c r="G10" s="964" t="e">
        <f>#REF!+#REF!</f>
        <v>#REF!</v>
      </c>
      <c r="H10" s="1016">
        <v>0</v>
      </c>
      <c r="I10" s="980">
        <v>0</v>
      </c>
      <c r="J10" s="981"/>
      <c r="K10" s="981">
        <v>0</v>
      </c>
      <c r="L10" s="965">
        <v>0</v>
      </c>
      <c r="M10" s="981">
        <v>0</v>
      </c>
      <c r="N10" s="981">
        <v>0</v>
      </c>
    </row>
    <row r="11" spans="1:14" ht="13.5" thickTop="1" x14ac:dyDescent="0.2">
      <c r="A11" s="183">
        <f t="shared" si="0"/>
        <v>5</v>
      </c>
      <c r="B11" s="188">
        <v>1</v>
      </c>
      <c r="C11" s="289" t="s">
        <v>343</v>
      </c>
      <c r="D11" s="190"/>
      <c r="E11" s="190"/>
      <c r="F11" s="191"/>
      <c r="G11" s="192" t="e">
        <f>SUM(G13)</f>
        <v>#REF!</v>
      </c>
      <c r="H11" s="468">
        <f>H12</f>
        <v>20632</v>
      </c>
      <c r="I11" s="193">
        <f t="shared" ref="I11:N12" si="1">I12</f>
        <v>14703</v>
      </c>
      <c r="J11" s="193">
        <f>J12</f>
        <v>15000</v>
      </c>
      <c r="K11" s="193">
        <f t="shared" si="1"/>
        <v>16000</v>
      </c>
      <c r="L11" s="323">
        <f t="shared" si="1"/>
        <v>18500</v>
      </c>
      <c r="M11" s="193">
        <f t="shared" si="1"/>
        <v>19500</v>
      </c>
      <c r="N11" s="193">
        <f t="shared" si="1"/>
        <v>19500</v>
      </c>
    </row>
    <row r="12" spans="1:14" x14ac:dyDescent="0.2">
      <c r="A12" s="183">
        <f t="shared" si="0"/>
        <v>6</v>
      </c>
      <c r="B12" s="203"/>
      <c r="C12" s="204"/>
      <c r="D12" s="186" t="s">
        <v>182</v>
      </c>
      <c r="E12" s="205"/>
      <c r="F12" s="206"/>
      <c r="G12" s="207" t="e">
        <f>G13</f>
        <v>#REF!</v>
      </c>
      <c r="H12" s="470">
        <f>H13</f>
        <v>20632</v>
      </c>
      <c r="I12" s="208">
        <f t="shared" si="1"/>
        <v>14703</v>
      </c>
      <c r="J12" s="208">
        <f>J13</f>
        <v>15000</v>
      </c>
      <c r="K12" s="208">
        <f t="shared" si="1"/>
        <v>16000</v>
      </c>
      <c r="L12" s="208">
        <f t="shared" si="1"/>
        <v>18500</v>
      </c>
      <c r="M12" s="208">
        <f t="shared" si="1"/>
        <v>19500</v>
      </c>
      <c r="N12" s="208">
        <f t="shared" si="1"/>
        <v>19500</v>
      </c>
    </row>
    <row r="13" spans="1:14" x14ac:dyDescent="0.2">
      <c r="A13" s="183">
        <f t="shared" si="0"/>
        <v>7</v>
      </c>
      <c r="B13" s="203"/>
      <c r="C13" s="287" t="s">
        <v>344</v>
      </c>
      <c r="D13" s="211" t="s">
        <v>345</v>
      </c>
      <c r="E13" s="212"/>
      <c r="F13" s="213"/>
      <c r="G13" s="259" t="e">
        <f>SUM(#REF!)</f>
        <v>#REF!</v>
      </c>
      <c r="H13" s="687">
        <f>SUM(H14:H18)</f>
        <v>20632</v>
      </c>
      <c r="I13" s="260">
        <f>SUM(I14:I18)</f>
        <v>14703</v>
      </c>
      <c r="J13" s="260">
        <f>SUM(J14:J18)</f>
        <v>15000</v>
      </c>
      <c r="K13" s="260">
        <f>SUM(K14:K18)</f>
        <v>16000</v>
      </c>
      <c r="L13" s="260">
        <f>SUM(L14,L15,L16,L17,L18)</f>
        <v>18500</v>
      </c>
      <c r="M13" s="260">
        <f>SUM(M14:M18)</f>
        <v>19500</v>
      </c>
      <c r="N13" s="260">
        <f>SUM(N14:N18)</f>
        <v>19500</v>
      </c>
    </row>
    <row r="14" spans="1:14" x14ac:dyDescent="0.2">
      <c r="A14" s="183">
        <f t="shared" si="0"/>
        <v>8</v>
      </c>
      <c r="B14" s="203"/>
      <c r="C14" s="247" t="s">
        <v>197</v>
      </c>
      <c r="D14" s="261" t="s">
        <v>216</v>
      </c>
      <c r="E14" s="249" t="s">
        <v>346</v>
      </c>
      <c r="F14" s="431"/>
      <c r="G14" s="432"/>
      <c r="H14" s="1076">
        <f>výdavky!E318</f>
        <v>6587</v>
      </c>
      <c r="I14" s="264">
        <f>výdavky!F318</f>
        <v>7345</v>
      </c>
      <c r="J14" s="264">
        <f>výdavky!G318</f>
        <v>7500</v>
      </c>
      <c r="K14" s="264">
        <f>výdavky!I318</f>
        <v>7500</v>
      </c>
      <c r="L14" s="433">
        <f>výdavky!J318</f>
        <v>10000</v>
      </c>
      <c r="M14" s="264">
        <f>výdavky!K318</f>
        <v>12000</v>
      </c>
      <c r="N14" s="264">
        <f>výdavky!L318</f>
        <v>12000</v>
      </c>
    </row>
    <row r="15" spans="1:14" x14ac:dyDescent="0.2">
      <c r="A15" s="183">
        <f t="shared" si="0"/>
        <v>9</v>
      </c>
      <c r="B15" s="203"/>
      <c r="C15" s="247" t="s">
        <v>199</v>
      </c>
      <c r="D15" s="266" t="s">
        <v>218</v>
      </c>
      <c r="E15" s="253" t="s">
        <v>347</v>
      </c>
      <c r="F15" s="434"/>
      <c r="G15" s="435"/>
      <c r="H15" s="1075">
        <f>výdavky!E319</f>
        <v>3766</v>
      </c>
      <c r="I15" s="258">
        <f>výdavky!F319</f>
        <v>3184</v>
      </c>
      <c r="J15" s="258">
        <f>výdavky!G319</f>
        <v>2000</v>
      </c>
      <c r="K15" s="258">
        <f>výdavky!I319</f>
        <v>2000</v>
      </c>
      <c r="L15" s="436">
        <f>výdavky!J319</f>
        <v>2000</v>
      </c>
      <c r="M15" s="258">
        <f>výdavky!K319</f>
        <v>1000</v>
      </c>
      <c r="N15" s="258">
        <f>výdavky!L319</f>
        <v>1000</v>
      </c>
    </row>
    <row r="16" spans="1:14" x14ac:dyDescent="0.2">
      <c r="A16" s="183">
        <v>10</v>
      </c>
      <c r="B16" s="203"/>
      <c r="C16" s="247" t="s">
        <v>201</v>
      </c>
      <c r="D16" s="261" t="s">
        <v>229</v>
      </c>
      <c r="E16" s="249" t="s">
        <v>348</v>
      </c>
      <c r="F16" s="431"/>
      <c r="G16" s="432"/>
      <c r="H16" s="1076">
        <f>výdavky!E320</f>
        <v>2664</v>
      </c>
      <c r="I16" s="264">
        <f>výdavky!F320</f>
        <v>2227</v>
      </c>
      <c r="J16" s="264">
        <f>výdavky!G320</f>
        <v>4000</v>
      </c>
      <c r="K16" s="264">
        <f>výdavky!I320</f>
        <v>5000</v>
      </c>
      <c r="L16" s="433">
        <f>výdavky!J320</f>
        <v>5000</v>
      </c>
      <c r="M16" s="264">
        <f>výdavky!K320</f>
        <v>5000</v>
      </c>
      <c r="N16" s="264">
        <f>výdavky!L320</f>
        <v>5000</v>
      </c>
    </row>
    <row r="17" spans="1:14" x14ac:dyDescent="0.2">
      <c r="A17" s="183">
        <v>11</v>
      </c>
      <c r="B17" s="203"/>
      <c r="C17" s="247" t="s">
        <v>203</v>
      </c>
      <c r="D17" s="266" t="s">
        <v>231</v>
      </c>
      <c r="E17" s="253" t="s">
        <v>279</v>
      </c>
      <c r="F17" s="434"/>
      <c r="G17" s="435"/>
      <c r="H17" s="1075">
        <f>výdavky!E321</f>
        <v>2495</v>
      </c>
      <c r="I17" s="258">
        <f>výdavky!F321</f>
        <v>438</v>
      </c>
      <c r="J17" s="258">
        <f>výdavky!G321</f>
        <v>500</v>
      </c>
      <c r="K17" s="258">
        <f>výdavky!I321</f>
        <v>500</v>
      </c>
      <c r="L17" s="436">
        <f>výdavky!J321</f>
        <v>500</v>
      </c>
      <c r="M17" s="258">
        <f>výdavky!K321</f>
        <v>500</v>
      </c>
      <c r="N17" s="258">
        <f>výdavky!L321</f>
        <v>500</v>
      </c>
    </row>
    <row r="18" spans="1:14" x14ac:dyDescent="0.2">
      <c r="A18" s="183">
        <v>12</v>
      </c>
      <c r="B18" s="203"/>
      <c r="C18" s="247" t="s">
        <v>207</v>
      </c>
      <c r="D18" s="266" t="s">
        <v>233</v>
      </c>
      <c r="E18" s="253" t="s">
        <v>208</v>
      </c>
      <c r="F18" s="434"/>
      <c r="G18" s="435"/>
      <c r="H18" s="1075">
        <f>výdavky!E322</f>
        <v>5120</v>
      </c>
      <c r="I18" s="258">
        <f>výdavky!F322</f>
        <v>1509</v>
      </c>
      <c r="J18" s="258">
        <f>výdavky!G322</f>
        <v>1000</v>
      </c>
      <c r="K18" s="258">
        <f>výdavky!I322</f>
        <v>1000</v>
      </c>
      <c r="L18" s="436">
        <f>výdavky!J322+výdavky!J323</f>
        <v>1000</v>
      </c>
      <c r="M18" s="258">
        <f>výdavky!K322+výdavky!K323</f>
        <v>1000</v>
      </c>
      <c r="N18" s="258">
        <f>výdavky!L322+výdavky!L323</f>
        <v>1000</v>
      </c>
    </row>
    <row r="19" spans="1:14" x14ac:dyDescent="0.2">
      <c r="A19" s="183">
        <f t="shared" ref="A19:A27" si="2">A18+1</f>
        <v>13</v>
      </c>
      <c r="B19" s="188">
        <v>2</v>
      </c>
      <c r="C19" s="289" t="s">
        <v>349</v>
      </c>
      <c r="D19" s="190"/>
      <c r="E19" s="190"/>
      <c r="F19" s="191"/>
      <c r="G19" s="192">
        <f>SUM(G21)</f>
        <v>908.59999999999991</v>
      </c>
      <c r="H19" s="468">
        <f>H20+H25</f>
        <v>16053</v>
      </c>
      <c r="I19" s="194">
        <f>SUM(I20+I25)</f>
        <v>33555</v>
      </c>
      <c r="J19" s="194">
        <f>J20+J25</f>
        <v>10500</v>
      </c>
      <c r="K19" s="194">
        <f>SUM(K20+K25)</f>
        <v>10500</v>
      </c>
      <c r="L19" s="323">
        <f>SUM(L20+L25)</f>
        <v>16000</v>
      </c>
      <c r="M19" s="194">
        <f>SUM(M20+M25)</f>
        <v>16500</v>
      </c>
      <c r="N19" s="194">
        <f>SUM(N20+N25)</f>
        <v>17000</v>
      </c>
    </row>
    <row r="20" spans="1:14" x14ac:dyDescent="0.2">
      <c r="A20" s="183">
        <f t="shared" si="2"/>
        <v>14</v>
      </c>
      <c r="B20" s="203"/>
      <c r="C20" s="204"/>
      <c r="D20" s="186" t="s">
        <v>182</v>
      </c>
      <c r="E20" s="205"/>
      <c r="F20" s="206"/>
      <c r="G20" s="207">
        <f t="shared" ref="G20:N20" si="3">G21</f>
        <v>908.59999999999991</v>
      </c>
      <c r="H20" s="470">
        <f>H21</f>
        <v>16053</v>
      </c>
      <c r="I20" s="208">
        <f t="shared" si="3"/>
        <v>16326</v>
      </c>
      <c r="J20" s="208">
        <f>J21</f>
        <v>10500</v>
      </c>
      <c r="K20" s="208">
        <f t="shared" si="3"/>
        <v>10500</v>
      </c>
      <c r="L20" s="325">
        <f t="shared" si="3"/>
        <v>16000</v>
      </c>
      <c r="M20" s="208">
        <f t="shared" si="3"/>
        <v>16500</v>
      </c>
      <c r="N20" s="208">
        <f t="shared" si="3"/>
        <v>17000</v>
      </c>
    </row>
    <row r="21" spans="1:14" x14ac:dyDescent="0.2">
      <c r="A21" s="183">
        <f t="shared" si="2"/>
        <v>15</v>
      </c>
      <c r="B21" s="236"/>
      <c r="C21" s="287" t="s">
        <v>344</v>
      </c>
      <c r="D21" s="211" t="s">
        <v>345</v>
      </c>
      <c r="E21" s="212"/>
      <c r="F21" s="213"/>
      <c r="G21" s="246">
        <f>SUM(G22:G23)</f>
        <v>908.59999999999991</v>
      </c>
      <c r="H21" s="330">
        <f t="shared" ref="H21:N21" si="4">SUM(H22:H24)</f>
        <v>16053</v>
      </c>
      <c r="I21" s="215">
        <f t="shared" si="4"/>
        <v>16326</v>
      </c>
      <c r="J21" s="215">
        <f t="shared" si="4"/>
        <v>10500</v>
      </c>
      <c r="K21" s="215">
        <f t="shared" si="4"/>
        <v>10500</v>
      </c>
      <c r="L21" s="215">
        <f t="shared" si="4"/>
        <v>16000</v>
      </c>
      <c r="M21" s="215">
        <f t="shared" si="4"/>
        <v>16500</v>
      </c>
      <c r="N21" s="215">
        <f t="shared" si="4"/>
        <v>17000</v>
      </c>
    </row>
    <row r="22" spans="1:14" x14ac:dyDescent="0.2">
      <c r="A22" s="183">
        <f t="shared" si="2"/>
        <v>16</v>
      </c>
      <c r="B22" s="236"/>
      <c r="C22" s="267" t="s">
        <v>215</v>
      </c>
      <c r="D22" s="261" t="s">
        <v>216</v>
      </c>
      <c r="E22" s="219" t="s">
        <v>350</v>
      </c>
      <c r="F22" s="262"/>
      <c r="G22" s="437">
        <f>ROUND(M22/30.126,1)</f>
        <v>497.9</v>
      </c>
      <c r="H22" s="1079">
        <f>výdavky!E325</f>
        <v>14653</v>
      </c>
      <c r="I22" s="281">
        <f>výdavky!F325+výdavky!F326</f>
        <v>16326</v>
      </c>
      <c r="J22" s="281">
        <f>výdavky!G325</f>
        <v>10000</v>
      </c>
      <c r="K22" s="281">
        <f>výdavky!I325</f>
        <v>10000</v>
      </c>
      <c r="L22" s="350">
        <f>výdavky!J325</f>
        <v>15000</v>
      </c>
      <c r="M22" s="281">
        <f>výdavky!K325</f>
        <v>15000</v>
      </c>
      <c r="N22" s="281">
        <f>výdavky!L325</f>
        <v>15000</v>
      </c>
    </row>
    <row r="23" spans="1:14" x14ac:dyDescent="0.2">
      <c r="A23" s="183">
        <f t="shared" si="2"/>
        <v>17</v>
      </c>
      <c r="B23" s="236"/>
      <c r="C23" s="265" t="s">
        <v>215</v>
      </c>
      <c r="D23" s="266" t="s">
        <v>218</v>
      </c>
      <c r="E23" s="228" t="s">
        <v>351</v>
      </c>
      <c r="F23" s="234"/>
      <c r="G23" s="438">
        <f>397.4+13.3</f>
        <v>410.7</v>
      </c>
      <c r="H23" s="1080">
        <f>výdavky!E327</f>
        <v>900</v>
      </c>
      <c r="I23" s="283">
        <f>výdavky!F327</f>
        <v>0</v>
      </c>
      <c r="J23" s="283">
        <f>výdavky!G327</f>
        <v>500</v>
      </c>
      <c r="K23" s="283">
        <f>výdavky!I327</f>
        <v>500</v>
      </c>
      <c r="L23" s="331">
        <f>výdavky!J327</f>
        <v>1000</v>
      </c>
      <c r="M23" s="283">
        <f>výdavky!K327</f>
        <v>1500</v>
      </c>
      <c r="N23" s="283">
        <f>výdavky!L327</f>
        <v>2000</v>
      </c>
    </row>
    <row r="24" spans="1:14" x14ac:dyDescent="0.2">
      <c r="A24" s="183">
        <f t="shared" si="2"/>
        <v>18</v>
      </c>
      <c r="B24" s="236"/>
      <c r="C24" s="265" t="s">
        <v>215</v>
      </c>
      <c r="D24" s="266" t="s">
        <v>229</v>
      </c>
      <c r="E24" s="228" t="s">
        <v>352</v>
      </c>
      <c r="F24" s="234"/>
      <c r="G24" s="438"/>
      <c r="H24" s="1080">
        <f>výdavky!E323</f>
        <v>500</v>
      </c>
      <c r="I24" s="283">
        <f>výdavky!F323</f>
        <v>0</v>
      </c>
      <c r="J24" s="283">
        <f>výdavky!G328</f>
        <v>0</v>
      </c>
      <c r="K24" s="283">
        <f>výdavky!I328</f>
        <v>0</v>
      </c>
      <c r="L24" s="331">
        <f>výdavky!J328</f>
        <v>0</v>
      </c>
      <c r="M24" s="283">
        <f>výdavky!K328</f>
        <v>0</v>
      </c>
      <c r="N24" s="283">
        <f>výdavky!L328</f>
        <v>0</v>
      </c>
    </row>
    <row r="25" spans="1:14" x14ac:dyDescent="0.2">
      <c r="A25" s="183">
        <f t="shared" si="2"/>
        <v>19</v>
      </c>
      <c r="B25" s="236"/>
      <c r="C25" s="265"/>
      <c r="D25" s="750" t="s">
        <v>184</v>
      </c>
      <c r="E25" s="753"/>
      <c r="F25" s="758"/>
      <c r="G25" s="837" t="e">
        <f t="shared" ref="G25:N25" si="5">G26</f>
        <v>#REF!</v>
      </c>
      <c r="H25" s="1084">
        <f>H26</f>
        <v>0</v>
      </c>
      <c r="I25" s="838">
        <f t="shared" si="5"/>
        <v>17229</v>
      </c>
      <c r="J25" s="838">
        <f>J26</f>
        <v>0</v>
      </c>
      <c r="K25" s="838">
        <f t="shared" si="5"/>
        <v>0</v>
      </c>
      <c r="L25" s="839">
        <f t="shared" si="5"/>
        <v>0</v>
      </c>
      <c r="M25" s="838">
        <f t="shared" si="5"/>
        <v>0</v>
      </c>
      <c r="N25" s="838">
        <f t="shared" si="5"/>
        <v>0</v>
      </c>
    </row>
    <row r="26" spans="1:14" x14ac:dyDescent="0.2">
      <c r="A26" s="183">
        <f t="shared" si="2"/>
        <v>20</v>
      </c>
      <c r="B26" s="236"/>
      <c r="C26" s="287" t="s">
        <v>344</v>
      </c>
      <c r="D26" s="211" t="s">
        <v>345</v>
      </c>
      <c r="E26" s="212"/>
      <c r="F26" s="213"/>
      <c r="G26" s="246" t="e">
        <f>SUM(#REF!)</f>
        <v>#REF!</v>
      </c>
      <c r="H26" s="330">
        <f>H27</f>
        <v>0</v>
      </c>
      <c r="I26" s="215">
        <f>SUM(I27:I27)</f>
        <v>17229</v>
      </c>
      <c r="J26" s="215">
        <f>J27</f>
        <v>0</v>
      </c>
      <c r="K26" s="215">
        <f>SUM(K27:K27)</f>
        <v>0</v>
      </c>
      <c r="L26" s="439">
        <f>SUM(L27:L27)</f>
        <v>0</v>
      </c>
      <c r="M26" s="215">
        <f>SUM(M27:M27)</f>
        <v>0</v>
      </c>
      <c r="N26" s="215">
        <f>SUM(N27:N27)</f>
        <v>0</v>
      </c>
    </row>
    <row r="27" spans="1:14" x14ac:dyDescent="0.2">
      <c r="A27" s="183">
        <f t="shared" si="2"/>
        <v>21</v>
      </c>
      <c r="B27" s="236"/>
      <c r="C27" s="265" t="s">
        <v>292</v>
      </c>
      <c r="D27" s="266" t="s">
        <v>231</v>
      </c>
      <c r="E27" s="224" t="s">
        <v>1005</v>
      </c>
      <c r="F27" s="434"/>
      <c r="G27" s="255"/>
      <c r="H27" s="475">
        <f>výdavky!E727</f>
        <v>0</v>
      </c>
      <c r="I27" s="227">
        <f>výdavky!F727</f>
        <v>17229</v>
      </c>
      <c r="J27" s="227">
        <f>výdavky!G727</f>
        <v>0</v>
      </c>
      <c r="K27" s="227">
        <f>výdavky!I727</f>
        <v>0</v>
      </c>
      <c r="L27" s="331">
        <f>výdavky!J727</f>
        <v>0</v>
      </c>
      <c r="M27" s="227">
        <f>výdavky!K727</f>
        <v>0</v>
      </c>
      <c r="N27" s="227">
        <f>výdavky!L727</f>
        <v>0</v>
      </c>
    </row>
    <row r="28" spans="1:14" x14ac:dyDescent="0.2">
      <c r="A28" s="183">
        <v>22</v>
      </c>
      <c r="B28" s="188">
        <v>3</v>
      </c>
      <c r="C28" s="289" t="s">
        <v>353</v>
      </c>
      <c r="D28" s="190"/>
      <c r="E28" s="190"/>
      <c r="F28" s="191"/>
      <c r="G28" s="192">
        <f>G31+G67</f>
        <v>796.7</v>
      </c>
      <c r="H28" s="468">
        <f>H29+H43+H47+H51</f>
        <v>45112</v>
      </c>
      <c r="I28" s="194">
        <f>SUM(I29,I43,I47)+I51</f>
        <v>50501</v>
      </c>
      <c r="J28" s="194">
        <f>J29+J43+J47+J51</f>
        <v>55250</v>
      </c>
      <c r="K28" s="194">
        <f>SUM(K29,K43,K47)+K51</f>
        <v>54750</v>
      </c>
      <c r="L28" s="323">
        <f>SUM(L29,L43,L47)+L51</f>
        <v>58500</v>
      </c>
      <c r="M28" s="194">
        <f>SUM(M29,M43,M47)+M51</f>
        <v>60260</v>
      </c>
      <c r="N28" s="194">
        <f>SUM(N29,N43,N47)+N51</f>
        <v>61260</v>
      </c>
    </row>
    <row r="29" spans="1:14" x14ac:dyDescent="0.2">
      <c r="A29" s="183">
        <f t="shared" ref="A29:A36" si="6">A28+1</f>
        <v>23</v>
      </c>
      <c r="B29" s="236"/>
      <c r="C29" s="196" t="s">
        <v>187</v>
      </c>
      <c r="D29" s="197" t="s">
        <v>354</v>
      </c>
      <c r="E29" s="198"/>
      <c r="F29" s="199"/>
      <c r="G29" s="200">
        <f>F85</f>
        <v>0</v>
      </c>
      <c r="H29" s="1072">
        <f>H30+H41</f>
        <v>40523</v>
      </c>
      <c r="I29" s="201">
        <f>SUM(I30+I41)</f>
        <v>40196</v>
      </c>
      <c r="J29" s="201">
        <f>J30+J41</f>
        <v>46100</v>
      </c>
      <c r="K29" s="201">
        <f>SUM(K30+K41)</f>
        <v>43100</v>
      </c>
      <c r="L29" s="440">
        <f>SUM(L30+L41)</f>
        <v>46850</v>
      </c>
      <c r="M29" s="201">
        <f>SUM(M30+M41)</f>
        <v>48610</v>
      </c>
      <c r="N29" s="201">
        <f>SUM(N30+N41)</f>
        <v>49610</v>
      </c>
    </row>
    <row r="30" spans="1:14" x14ac:dyDescent="0.2">
      <c r="A30" s="183">
        <f t="shared" si="6"/>
        <v>24</v>
      </c>
      <c r="B30" s="203"/>
      <c r="C30" s="204"/>
      <c r="D30" s="186" t="s">
        <v>182</v>
      </c>
      <c r="E30" s="205"/>
      <c r="F30" s="206"/>
      <c r="G30" s="207">
        <f>G31+G67</f>
        <v>796.7</v>
      </c>
      <c r="H30" s="470">
        <f t="shared" ref="H30:N30" si="7">H31</f>
        <v>40523</v>
      </c>
      <c r="I30" s="208">
        <f t="shared" si="7"/>
        <v>40196</v>
      </c>
      <c r="J30" s="208">
        <f t="shared" si="7"/>
        <v>46100</v>
      </c>
      <c r="K30" s="208">
        <f t="shared" si="7"/>
        <v>43100</v>
      </c>
      <c r="L30" s="325">
        <f t="shared" si="7"/>
        <v>46850</v>
      </c>
      <c r="M30" s="208">
        <f t="shared" si="7"/>
        <v>48610</v>
      </c>
      <c r="N30" s="208">
        <f t="shared" si="7"/>
        <v>49610</v>
      </c>
    </row>
    <row r="31" spans="1:14" x14ac:dyDescent="0.2">
      <c r="A31" s="183">
        <f t="shared" si="6"/>
        <v>25</v>
      </c>
      <c r="B31" s="236"/>
      <c r="C31" s="287" t="s">
        <v>355</v>
      </c>
      <c r="D31" s="211" t="s">
        <v>354</v>
      </c>
      <c r="E31" s="212"/>
      <c r="F31" s="213"/>
      <c r="G31" s="246">
        <f>SUM(G32:G42)</f>
        <v>796.7</v>
      </c>
      <c r="H31" s="330">
        <f t="shared" ref="H31:N31" si="8">SUM(H32:H40)</f>
        <v>40523</v>
      </c>
      <c r="I31" s="215">
        <f t="shared" si="8"/>
        <v>40196</v>
      </c>
      <c r="J31" s="215">
        <f>SUM(J32:J40)</f>
        <v>46100</v>
      </c>
      <c r="K31" s="215">
        <f t="shared" si="8"/>
        <v>43100</v>
      </c>
      <c r="L31" s="215">
        <f t="shared" si="8"/>
        <v>46850</v>
      </c>
      <c r="M31" s="215">
        <f t="shared" si="8"/>
        <v>48610</v>
      </c>
      <c r="N31" s="215">
        <f t="shared" si="8"/>
        <v>49610</v>
      </c>
    </row>
    <row r="32" spans="1:14" x14ac:dyDescent="0.2">
      <c r="A32" s="183">
        <f t="shared" si="6"/>
        <v>26</v>
      </c>
      <c r="B32" s="441"/>
      <c r="C32" s="247" t="s">
        <v>191</v>
      </c>
      <c r="D32" s="261" t="s">
        <v>216</v>
      </c>
      <c r="E32" s="288" t="s">
        <v>356</v>
      </c>
      <c r="F32" s="262"/>
      <c r="G32" s="268">
        <f>ROUND(M32/30.126,1)</f>
        <v>796.7</v>
      </c>
      <c r="H32" s="686">
        <f>výdavky!E331</f>
        <v>17285</v>
      </c>
      <c r="I32" s="222">
        <f>výdavky!F331</f>
        <v>19735</v>
      </c>
      <c r="J32" s="222">
        <f>výdavky!G331</f>
        <v>22000</v>
      </c>
      <c r="K32" s="222">
        <f>výdavky!I331</f>
        <v>22000</v>
      </c>
      <c r="L32" s="350">
        <f>výdavky!J331</f>
        <v>23000</v>
      </c>
      <c r="M32" s="222">
        <f>výdavky!K331</f>
        <v>24000</v>
      </c>
      <c r="N32" s="222">
        <f>výdavky!L331</f>
        <v>25000</v>
      </c>
    </row>
    <row r="33" spans="1:14" x14ac:dyDescent="0.2">
      <c r="A33" s="183">
        <f t="shared" si="6"/>
        <v>27</v>
      </c>
      <c r="B33" s="441"/>
      <c r="C33" s="247" t="s">
        <v>193</v>
      </c>
      <c r="D33" s="266" t="s">
        <v>218</v>
      </c>
      <c r="E33" s="224" t="s">
        <v>194</v>
      </c>
      <c r="F33" s="234"/>
      <c r="G33" s="235"/>
      <c r="H33" s="475">
        <f>výdavky!E332</f>
        <v>6644</v>
      </c>
      <c r="I33" s="227">
        <f>výdavky!F332</f>
        <v>7087</v>
      </c>
      <c r="J33" s="227">
        <f>výdavky!G332</f>
        <v>8000</v>
      </c>
      <c r="K33" s="227">
        <f>výdavky!I332</f>
        <v>8000</v>
      </c>
      <c r="L33" s="331">
        <f>výdavky!J332</f>
        <v>8250</v>
      </c>
      <c r="M33" s="227">
        <f>výdavky!K332</f>
        <v>8510</v>
      </c>
      <c r="N33" s="227">
        <f>výdavky!L332</f>
        <v>8510</v>
      </c>
    </row>
    <row r="34" spans="1:14" x14ac:dyDescent="0.2">
      <c r="A34" s="183">
        <f t="shared" si="6"/>
        <v>28</v>
      </c>
      <c r="B34" s="441"/>
      <c r="C34" s="247" t="s">
        <v>197</v>
      </c>
      <c r="D34" s="261" t="s">
        <v>229</v>
      </c>
      <c r="E34" s="288" t="s">
        <v>346</v>
      </c>
      <c r="F34" s="262"/>
      <c r="G34" s="268"/>
      <c r="H34" s="686">
        <f>výdavky!E335</f>
        <v>9131</v>
      </c>
      <c r="I34" s="222">
        <f>výdavky!F335</f>
        <v>9674</v>
      </c>
      <c r="J34" s="222">
        <f>výdavky!G335</f>
        <v>10000</v>
      </c>
      <c r="K34" s="222">
        <f>výdavky!I335</f>
        <v>10000</v>
      </c>
      <c r="L34" s="350">
        <f>výdavky!J335</f>
        <v>10000</v>
      </c>
      <c r="M34" s="222">
        <f>výdavky!K335</f>
        <v>10000</v>
      </c>
      <c r="N34" s="222">
        <f>výdavky!L335</f>
        <v>10000</v>
      </c>
    </row>
    <row r="35" spans="1:14" x14ac:dyDescent="0.2">
      <c r="A35" s="183">
        <f t="shared" si="6"/>
        <v>29</v>
      </c>
      <c r="B35" s="441"/>
      <c r="C35" s="247" t="s">
        <v>199</v>
      </c>
      <c r="D35" s="266" t="s">
        <v>231</v>
      </c>
      <c r="E35" s="224" t="s">
        <v>357</v>
      </c>
      <c r="F35" s="234"/>
      <c r="G35" s="235"/>
      <c r="H35" s="475">
        <f>výdavky!E336+výdavky!E337</f>
        <v>1075</v>
      </c>
      <c r="I35" s="227">
        <f>výdavky!F336+výdavky!F334</f>
        <v>2874</v>
      </c>
      <c r="J35" s="227">
        <f>výdavky!G336+výdavky!G337</f>
        <v>2300</v>
      </c>
      <c r="K35" s="227">
        <f>výdavky!I336+výdavky!I337</f>
        <v>800</v>
      </c>
      <c r="L35" s="331">
        <f>výdavky!J336+výdavky!J337</f>
        <v>800</v>
      </c>
      <c r="M35" s="227">
        <f>výdavky!K336+výdavky!K337</f>
        <v>2300</v>
      </c>
      <c r="N35" s="227">
        <f>výdavky!L336+výdavky!L337</f>
        <v>2300</v>
      </c>
    </row>
    <row r="36" spans="1:14" x14ac:dyDescent="0.2">
      <c r="A36" s="183">
        <f t="shared" si="6"/>
        <v>30</v>
      </c>
      <c r="B36" s="441"/>
      <c r="C36" s="247" t="s">
        <v>199</v>
      </c>
      <c r="D36" s="261" t="s">
        <v>233</v>
      </c>
      <c r="E36" s="288" t="s">
        <v>358</v>
      </c>
      <c r="F36" s="262"/>
      <c r="G36" s="268"/>
      <c r="H36" s="686">
        <f>výdavky!E338</f>
        <v>800</v>
      </c>
      <c r="I36" s="222">
        <f>výdavky!F338+výdavky!F339</f>
        <v>18</v>
      </c>
      <c r="J36" s="222">
        <f>výdavky!G338+výdavky!G339+výdavky!G344</f>
        <v>2000</v>
      </c>
      <c r="K36" s="222">
        <f>výdavky!I338+výdavky!I339+výdavky!I340</f>
        <v>700</v>
      </c>
      <c r="L36" s="350">
        <f>výdavky!J338+výdavky!J339+výdavky!J340</f>
        <v>1500</v>
      </c>
      <c r="M36" s="222">
        <f>výdavky!K338</f>
        <v>500</v>
      </c>
      <c r="N36" s="222">
        <f>výdavky!L338</f>
        <v>500</v>
      </c>
    </row>
    <row r="37" spans="1:14" x14ac:dyDescent="0.2">
      <c r="A37" s="183">
        <v>30</v>
      </c>
      <c r="B37" s="441"/>
      <c r="C37" s="247" t="s">
        <v>201</v>
      </c>
      <c r="D37" s="266" t="s">
        <v>237</v>
      </c>
      <c r="E37" s="224" t="s">
        <v>202</v>
      </c>
      <c r="F37" s="234"/>
      <c r="G37" s="235"/>
      <c r="H37" s="475">
        <f>výdavky!E343+výdavky!E344+výdavky!E334</f>
        <v>2109</v>
      </c>
      <c r="I37" s="227">
        <f>výdavky!F343+výdavky!F344</f>
        <v>0</v>
      </c>
      <c r="J37" s="227">
        <f>výdavky!G343+výdavky!FG44+výdavky!G334</f>
        <v>300</v>
      </c>
      <c r="K37" s="227">
        <f>výdavky!I343+výdavky!I344+výdavky!I334</f>
        <v>100</v>
      </c>
      <c r="L37" s="331">
        <f>výdavky!J343+výdavky!J344+výdavky!J334</f>
        <v>1800</v>
      </c>
      <c r="M37" s="227">
        <f>výdavky!K343+výdavky!K344+výdavky!K334</f>
        <v>1800</v>
      </c>
      <c r="N37" s="227">
        <f>výdavky!L343+výdavky!L344+výdavky!L334</f>
        <v>1800</v>
      </c>
    </row>
    <row r="38" spans="1:14" x14ac:dyDescent="0.2">
      <c r="A38" s="183">
        <f t="shared" ref="A38:A46" si="9">A37+1</f>
        <v>31</v>
      </c>
      <c r="B38" s="441"/>
      <c r="C38" s="247" t="s">
        <v>203</v>
      </c>
      <c r="D38" s="261" t="s">
        <v>239</v>
      </c>
      <c r="E38" s="288" t="s">
        <v>279</v>
      </c>
      <c r="F38" s="262"/>
      <c r="G38" s="268"/>
      <c r="H38" s="686">
        <f>výdavky!E345</f>
        <v>2945</v>
      </c>
      <c r="I38" s="222">
        <f>výdavky!F345</f>
        <v>416</v>
      </c>
      <c r="J38" s="222">
        <f>výdavky!G345</f>
        <v>1000</v>
      </c>
      <c r="K38" s="222">
        <f>výdavky!I345</f>
        <v>1000</v>
      </c>
      <c r="L38" s="350">
        <f>výdavky!J345</f>
        <v>1000</v>
      </c>
      <c r="M38" s="222">
        <f>výdavky!K345</f>
        <v>1000</v>
      </c>
      <c r="N38" s="222">
        <f>výdavky!L345</f>
        <v>1000</v>
      </c>
    </row>
    <row r="39" spans="1:14" x14ac:dyDescent="0.2">
      <c r="A39" s="183">
        <f t="shared" si="9"/>
        <v>32</v>
      </c>
      <c r="B39" s="441"/>
      <c r="C39" s="247" t="s">
        <v>207</v>
      </c>
      <c r="D39" s="266" t="s">
        <v>267</v>
      </c>
      <c r="E39" s="224" t="s">
        <v>208</v>
      </c>
      <c r="F39" s="234"/>
      <c r="G39" s="235"/>
      <c r="H39" s="475">
        <f>výdavky!E348</f>
        <v>534</v>
      </c>
      <c r="I39" s="227">
        <f>výdavky!F348+výdavky!F347</f>
        <v>392</v>
      </c>
      <c r="J39" s="227">
        <f>výdavky!G347+výdavky!G348</f>
        <v>500</v>
      </c>
      <c r="K39" s="227">
        <f>výdavky!I348+výdavky!I347</f>
        <v>500</v>
      </c>
      <c r="L39" s="331">
        <f>výdavky!J348+výdavky!J347</f>
        <v>500</v>
      </c>
      <c r="M39" s="227">
        <f>výdavky!K348+výdavky!K347</f>
        <v>500</v>
      </c>
      <c r="N39" s="227">
        <f>výdavky!L348+výdavky!L347</f>
        <v>500</v>
      </c>
    </row>
    <row r="40" spans="1:14" x14ac:dyDescent="0.2">
      <c r="A40" s="183">
        <f t="shared" si="9"/>
        <v>33</v>
      </c>
      <c r="B40" s="441"/>
      <c r="C40" s="247" t="s">
        <v>215</v>
      </c>
      <c r="D40" s="266" t="s">
        <v>269</v>
      </c>
      <c r="E40" s="224" t="s">
        <v>1006</v>
      </c>
      <c r="F40" s="234"/>
      <c r="G40" s="235"/>
      <c r="H40" s="475"/>
      <c r="I40" s="227">
        <v>0</v>
      </c>
      <c r="J40" s="227">
        <v>0</v>
      </c>
      <c r="K40" s="227">
        <v>0</v>
      </c>
      <c r="L40" s="331">
        <v>0</v>
      </c>
      <c r="M40" s="227">
        <v>0</v>
      </c>
      <c r="N40" s="227">
        <v>0</v>
      </c>
    </row>
    <row r="41" spans="1:14" x14ac:dyDescent="0.2">
      <c r="A41" s="183">
        <f t="shared" si="9"/>
        <v>34</v>
      </c>
      <c r="B41" s="241"/>
      <c r="C41" s="265"/>
      <c r="D41" s="750" t="s">
        <v>184</v>
      </c>
      <c r="E41" s="753"/>
      <c r="F41" s="758"/>
      <c r="G41" s="837">
        <f t="shared" ref="G41:N41" si="10">G42</f>
        <v>0</v>
      </c>
      <c r="H41" s="1084">
        <f>H42</f>
        <v>0</v>
      </c>
      <c r="I41" s="838">
        <f t="shared" si="10"/>
        <v>0</v>
      </c>
      <c r="J41" s="838">
        <f>J42</f>
        <v>0</v>
      </c>
      <c r="K41" s="838">
        <f t="shared" si="10"/>
        <v>0</v>
      </c>
      <c r="L41" s="839">
        <f t="shared" si="10"/>
        <v>0</v>
      </c>
      <c r="M41" s="838">
        <f t="shared" si="10"/>
        <v>0</v>
      </c>
      <c r="N41" s="838">
        <f t="shared" si="10"/>
        <v>0</v>
      </c>
    </row>
    <row r="42" spans="1:14" x14ac:dyDescent="0.2">
      <c r="A42" s="183">
        <f t="shared" si="9"/>
        <v>35</v>
      </c>
      <c r="B42" s="236"/>
      <c r="C42" s="267" t="s">
        <v>292</v>
      </c>
      <c r="D42" s="266" t="s">
        <v>271</v>
      </c>
      <c r="E42" s="351" t="s">
        <v>706</v>
      </c>
      <c r="F42" s="234"/>
      <c r="G42" s="235">
        <f>ROUND(M42/30.126,1)</f>
        <v>0</v>
      </c>
      <c r="H42" s="475">
        <f>výdavky!E731</f>
        <v>0</v>
      </c>
      <c r="I42" s="227">
        <f>výdavky!F733</f>
        <v>0</v>
      </c>
      <c r="J42" s="227">
        <f>výdavky!G733</f>
        <v>0</v>
      </c>
      <c r="K42" s="227">
        <f>výdavky!I733</f>
        <v>0</v>
      </c>
      <c r="L42" s="331">
        <f>výdavky!J731</f>
        <v>0</v>
      </c>
      <c r="M42" s="227">
        <f>výdavky!K731</f>
        <v>0</v>
      </c>
      <c r="N42" s="227">
        <f>výdavky!L731</f>
        <v>0</v>
      </c>
    </row>
    <row r="43" spans="1:14" x14ac:dyDescent="0.2">
      <c r="A43" s="183">
        <f t="shared" si="9"/>
        <v>36</v>
      </c>
      <c r="B43" s="236"/>
      <c r="C43" s="196" t="s">
        <v>210</v>
      </c>
      <c r="D43" s="197" t="s">
        <v>359</v>
      </c>
      <c r="E43" s="198"/>
      <c r="F43" s="199"/>
      <c r="G43" s="200">
        <f>F97</f>
        <v>0</v>
      </c>
      <c r="H43" s="1072">
        <f>H44</f>
        <v>2007</v>
      </c>
      <c r="I43" s="201">
        <f t="shared" ref="I43:N45" si="11">I44</f>
        <v>2324</v>
      </c>
      <c r="J43" s="201">
        <f>J44</f>
        <v>650</v>
      </c>
      <c r="K43" s="201">
        <f t="shared" si="11"/>
        <v>650</v>
      </c>
      <c r="L43" s="440">
        <f t="shared" si="11"/>
        <v>650</v>
      </c>
      <c r="M43" s="201">
        <f t="shared" si="11"/>
        <v>650</v>
      </c>
      <c r="N43" s="201">
        <f t="shared" si="11"/>
        <v>650</v>
      </c>
    </row>
    <row r="44" spans="1:14" x14ac:dyDescent="0.2">
      <c r="A44" s="183">
        <f t="shared" si="9"/>
        <v>37</v>
      </c>
      <c r="B44" s="203"/>
      <c r="C44" s="204"/>
      <c r="D44" s="186" t="s">
        <v>182</v>
      </c>
      <c r="E44" s="205"/>
      <c r="F44" s="206"/>
      <c r="G44" s="207">
        <f>G45+G73</f>
        <v>2441.4</v>
      </c>
      <c r="H44" s="470">
        <f>H45</f>
        <v>2007</v>
      </c>
      <c r="I44" s="208">
        <f t="shared" si="11"/>
        <v>2324</v>
      </c>
      <c r="J44" s="208">
        <f>J45</f>
        <v>650</v>
      </c>
      <c r="K44" s="208">
        <f t="shared" si="11"/>
        <v>650</v>
      </c>
      <c r="L44" s="325">
        <f t="shared" si="11"/>
        <v>650</v>
      </c>
      <c r="M44" s="208">
        <f t="shared" si="11"/>
        <v>650</v>
      </c>
      <c r="N44" s="208">
        <f t="shared" si="11"/>
        <v>650</v>
      </c>
    </row>
    <row r="45" spans="1:14" x14ac:dyDescent="0.2">
      <c r="A45" s="183">
        <f t="shared" si="9"/>
        <v>38</v>
      </c>
      <c r="B45" s="236"/>
      <c r="C45" s="287" t="s">
        <v>360</v>
      </c>
      <c r="D45" s="211" t="s">
        <v>361</v>
      </c>
      <c r="E45" s="212"/>
      <c r="F45" s="213"/>
      <c r="G45" s="246">
        <f>SUM(G46:G69)</f>
        <v>2375</v>
      </c>
      <c r="H45" s="330">
        <f>H46</f>
        <v>2007</v>
      </c>
      <c r="I45" s="215">
        <f t="shared" si="11"/>
        <v>2324</v>
      </c>
      <c r="J45" s="215">
        <f>J46</f>
        <v>650</v>
      </c>
      <c r="K45" s="215">
        <f t="shared" si="11"/>
        <v>650</v>
      </c>
      <c r="L45" s="439">
        <f t="shared" si="11"/>
        <v>650</v>
      </c>
      <c r="M45" s="215">
        <f t="shared" si="11"/>
        <v>650</v>
      </c>
      <c r="N45" s="215">
        <f t="shared" si="11"/>
        <v>650</v>
      </c>
    </row>
    <row r="46" spans="1:14" x14ac:dyDescent="0.2">
      <c r="A46" s="183">
        <f t="shared" si="9"/>
        <v>39</v>
      </c>
      <c r="B46" s="236"/>
      <c r="C46" s="267" t="s">
        <v>227</v>
      </c>
      <c r="D46" s="266" t="s">
        <v>216</v>
      </c>
      <c r="E46" s="351" t="s">
        <v>363</v>
      </c>
      <c r="F46" s="234"/>
      <c r="G46" s="235"/>
      <c r="H46" s="475">
        <f>výdavky!E355</f>
        <v>2007</v>
      </c>
      <c r="I46" s="227">
        <f>výdavky!F355</f>
        <v>2324</v>
      </c>
      <c r="J46" s="227">
        <f>výdavky!G355</f>
        <v>650</v>
      </c>
      <c r="K46" s="227">
        <f>výdavky!I355</f>
        <v>650</v>
      </c>
      <c r="L46" s="331">
        <f>výdavky!J355</f>
        <v>650</v>
      </c>
      <c r="M46" s="227">
        <f>výdavky!K355</f>
        <v>650</v>
      </c>
      <c r="N46" s="227">
        <f>výdavky!L355</f>
        <v>650</v>
      </c>
    </row>
    <row r="47" spans="1:14" x14ac:dyDescent="0.2">
      <c r="A47" s="183">
        <v>40</v>
      </c>
      <c r="B47" s="236"/>
      <c r="C47" s="442" t="s">
        <v>364</v>
      </c>
      <c r="D47" s="3732" t="s">
        <v>365</v>
      </c>
      <c r="E47" s="3732"/>
      <c r="F47" s="443"/>
      <c r="G47" s="444"/>
      <c r="H47" s="1085">
        <f>H48</f>
        <v>812</v>
      </c>
      <c r="I47" s="201">
        <f t="shared" ref="I47:N49" si="12">SUM(I48)</f>
        <v>881</v>
      </c>
      <c r="J47" s="201">
        <f>J48</f>
        <v>1000</v>
      </c>
      <c r="K47" s="201">
        <f t="shared" si="12"/>
        <v>1000</v>
      </c>
      <c r="L47" s="440">
        <f t="shared" si="12"/>
        <v>1000</v>
      </c>
      <c r="M47" s="201">
        <f t="shared" si="12"/>
        <v>1000</v>
      </c>
      <c r="N47" s="201">
        <f t="shared" si="12"/>
        <v>1000</v>
      </c>
    </row>
    <row r="48" spans="1:14" x14ac:dyDescent="0.2">
      <c r="A48" s="183">
        <v>41</v>
      </c>
      <c r="B48" s="236"/>
      <c r="C48" s="265"/>
      <c r="D48" s="3727" t="s">
        <v>182</v>
      </c>
      <c r="E48" s="3727"/>
      <c r="F48" s="366"/>
      <c r="G48" s="367"/>
      <c r="H48" s="479">
        <f>H49</f>
        <v>812</v>
      </c>
      <c r="I48" s="445">
        <f t="shared" si="12"/>
        <v>881</v>
      </c>
      <c r="J48" s="445">
        <f>J49</f>
        <v>1000</v>
      </c>
      <c r="K48" s="445">
        <f t="shared" si="12"/>
        <v>1000</v>
      </c>
      <c r="L48" s="446">
        <f t="shared" si="12"/>
        <v>1000</v>
      </c>
      <c r="M48" s="445">
        <f t="shared" si="12"/>
        <v>1000</v>
      </c>
      <c r="N48" s="445">
        <f t="shared" si="12"/>
        <v>1000</v>
      </c>
    </row>
    <row r="49" spans="1:14" s="373" customFormat="1" x14ac:dyDescent="0.2">
      <c r="A49" s="183">
        <v>42</v>
      </c>
      <c r="B49" s="447"/>
      <c r="C49" s="395" t="s">
        <v>366</v>
      </c>
      <c r="D49" s="3729" t="s">
        <v>367</v>
      </c>
      <c r="E49" s="3729"/>
      <c r="F49" s="245"/>
      <c r="G49" s="246"/>
      <c r="H49" s="330">
        <f>H50</f>
        <v>812</v>
      </c>
      <c r="I49" s="215">
        <f t="shared" si="12"/>
        <v>881</v>
      </c>
      <c r="J49" s="215">
        <f>J50</f>
        <v>1000</v>
      </c>
      <c r="K49" s="215">
        <f t="shared" si="12"/>
        <v>1000</v>
      </c>
      <c r="L49" s="439">
        <f t="shared" si="12"/>
        <v>1000</v>
      </c>
      <c r="M49" s="215">
        <f t="shared" si="12"/>
        <v>1000</v>
      </c>
      <c r="N49" s="215">
        <f t="shared" si="12"/>
        <v>1000</v>
      </c>
    </row>
    <row r="50" spans="1:14" x14ac:dyDescent="0.2">
      <c r="A50" s="183">
        <v>43</v>
      </c>
      <c r="B50" s="236"/>
      <c r="C50" s="265" t="s">
        <v>207</v>
      </c>
      <c r="D50" s="448" t="s">
        <v>216</v>
      </c>
      <c r="E50" s="351" t="s">
        <v>369</v>
      </c>
      <c r="F50" s="234"/>
      <c r="G50" s="235"/>
      <c r="H50" s="475">
        <f>výdavky!E366</f>
        <v>812</v>
      </c>
      <c r="I50" s="227">
        <f>výdavky!F366</f>
        <v>881</v>
      </c>
      <c r="J50" s="227">
        <f>výdavky!G366</f>
        <v>1000</v>
      </c>
      <c r="K50" s="227">
        <f>výdavky!I366</f>
        <v>1000</v>
      </c>
      <c r="L50" s="331">
        <f>výdavky!J366</f>
        <v>1000</v>
      </c>
      <c r="M50" s="227">
        <f>výdavky!K366</f>
        <v>1000</v>
      </c>
      <c r="N50" s="227">
        <f>výdavky!L366</f>
        <v>1000</v>
      </c>
    </row>
    <row r="51" spans="1:14" s="3417" customFormat="1" x14ac:dyDescent="0.2">
      <c r="A51" s="183">
        <v>44</v>
      </c>
      <c r="B51" s="236"/>
      <c r="C51" s="442" t="s">
        <v>1007</v>
      </c>
      <c r="D51" s="3732" t="s">
        <v>1008</v>
      </c>
      <c r="E51" s="3732"/>
      <c r="F51" s="443"/>
      <c r="G51" s="268"/>
      <c r="H51" s="3420">
        <f t="shared" ref="H51:N52" si="13">H52</f>
        <v>1770</v>
      </c>
      <c r="I51" s="3421">
        <f t="shared" si="13"/>
        <v>7100</v>
      </c>
      <c r="J51" s="3421">
        <f t="shared" si="13"/>
        <v>7500</v>
      </c>
      <c r="K51" s="3421">
        <f t="shared" si="13"/>
        <v>10000</v>
      </c>
      <c r="L51" s="3422">
        <f t="shared" si="13"/>
        <v>10000</v>
      </c>
      <c r="M51" s="3421">
        <f t="shared" si="13"/>
        <v>10000</v>
      </c>
      <c r="N51" s="3421">
        <f t="shared" si="13"/>
        <v>10000</v>
      </c>
    </row>
    <row r="52" spans="1:14" s="3417" customFormat="1" x14ac:dyDescent="0.2">
      <c r="A52" s="183">
        <v>45</v>
      </c>
      <c r="B52" s="236"/>
      <c r="C52" s="265"/>
      <c r="D52" s="3727" t="s">
        <v>182</v>
      </c>
      <c r="E52" s="3727"/>
      <c r="F52" s="366"/>
      <c r="G52" s="268"/>
      <c r="H52" s="3429">
        <f t="shared" si="13"/>
        <v>1770</v>
      </c>
      <c r="I52" s="3430">
        <f t="shared" si="13"/>
        <v>7100</v>
      </c>
      <c r="J52" s="3430">
        <f t="shared" si="13"/>
        <v>7500</v>
      </c>
      <c r="K52" s="3430">
        <f t="shared" si="13"/>
        <v>10000</v>
      </c>
      <c r="L52" s="3431">
        <f t="shared" si="13"/>
        <v>10000</v>
      </c>
      <c r="M52" s="3430">
        <f t="shared" si="13"/>
        <v>10000</v>
      </c>
      <c r="N52" s="3430">
        <f t="shared" si="13"/>
        <v>10000</v>
      </c>
    </row>
    <row r="53" spans="1:14" s="3417" customFormat="1" x14ac:dyDescent="0.2">
      <c r="A53" s="183">
        <v>46</v>
      </c>
      <c r="B53" s="236"/>
      <c r="C53" s="395" t="s">
        <v>1009</v>
      </c>
      <c r="D53" s="3728" t="s">
        <v>1008</v>
      </c>
      <c r="E53" s="3729"/>
      <c r="F53" s="245"/>
      <c r="G53" s="268"/>
      <c r="H53" s="3423">
        <f t="shared" ref="H53:N53" si="14">H54+H55</f>
        <v>1770</v>
      </c>
      <c r="I53" s="3424">
        <f t="shared" si="14"/>
        <v>7100</v>
      </c>
      <c r="J53" s="3424">
        <f t="shared" si="14"/>
        <v>7500</v>
      </c>
      <c r="K53" s="3424">
        <f t="shared" si="14"/>
        <v>10000</v>
      </c>
      <c r="L53" s="3425">
        <f t="shared" si="14"/>
        <v>10000</v>
      </c>
      <c r="M53" s="3424">
        <f t="shared" si="14"/>
        <v>10000</v>
      </c>
      <c r="N53" s="3424">
        <f t="shared" si="14"/>
        <v>10000</v>
      </c>
    </row>
    <row r="54" spans="1:14" s="3417" customFormat="1" x14ac:dyDescent="0.2">
      <c r="A54" s="183">
        <v>47</v>
      </c>
      <c r="B54" s="236"/>
      <c r="C54" s="265" t="s">
        <v>203</v>
      </c>
      <c r="D54" s="3437" t="s">
        <v>216</v>
      </c>
      <c r="E54" s="3730" t="s">
        <v>294</v>
      </c>
      <c r="F54" s="3731"/>
      <c r="G54" s="3426"/>
      <c r="H54" s="3427">
        <f>výdavky!E369</f>
        <v>1260</v>
      </c>
      <c r="I54" s="3428">
        <f>výdavky!F369</f>
        <v>330</v>
      </c>
      <c r="J54" s="3428">
        <f>výdavky!G369</f>
        <v>0</v>
      </c>
      <c r="K54" s="3428">
        <f>výdavky!I369</f>
        <v>0</v>
      </c>
      <c r="L54" s="3414">
        <f>výdavky!J369</f>
        <v>0</v>
      </c>
      <c r="M54" s="3428">
        <f>výdavky!K369</f>
        <v>0</v>
      </c>
      <c r="N54" s="3428">
        <f>výdavky!L369</f>
        <v>0</v>
      </c>
    </row>
    <row r="55" spans="1:14" s="3417" customFormat="1" x14ac:dyDescent="0.2">
      <c r="A55" s="183">
        <v>48</v>
      </c>
      <c r="B55" s="236"/>
      <c r="C55" s="265" t="s">
        <v>207</v>
      </c>
      <c r="D55" s="3434" t="s">
        <v>218</v>
      </c>
      <c r="E55" s="3434" t="s">
        <v>832</v>
      </c>
      <c r="F55" s="3432"/>
      <c r="G55" s="3433"/>
      <c r="H55" s="689">
        <f>výdavky!E370</f>
        <v>510</v>
      </c>
      <c r="I55" s="684">
        <f>výdavky!F370</f>
        <v>6770</v>
      </c>
      <c r="J55" s="684">
        <f>výdavky!G370</f>
        <v>7500</v>
      </c>
      <c r="K55" s="684">
        <f>výdavky!I370</f>
        <v>10000</v>
      </c>
      <c r="L55" s="685">
        <f>výdavky!J370</f>
        <v>10000</v>
      </c>
      <c r="M55" s="684">
        <f>výdavky!K370</f>
        <v>10000</v>
      </c>
      <c r="N55" s="684">
        <f>výdavky!L370</f>
        <v>10000</v>
      </c>
    </row>
    <row r="56" spans="1:14" x14ac:dyDescent="0.2">
      <c r="A56" s="183">
        <v>49</v>
      </c>
      <c r="B56" s="188">
        <v>4</v>
      </c>
      <c r="C56" s="289" t="s">
        <v>370</v>
      </c>
      <c r="D56" s="190"/>
      <c r="E56" s="190"/>
      <c r="F56" s="191"/>
      <c r="G56" s="192">
        <f>SUM(G58)</f>
        <v>593.29999999999995</v>
      </c>
      <c r="H56" s="468">
        <f>H57+H62</f>
        <v>15745</v>
      </c>
      <c r="I56" s="194">
        <f>SUM(I57+I62)</f>
        <v>410</v>
      </c>
      <c r="J56" s="194">
        <f>J57+J62</f>
        <v>6000</v>
      </c>
      <c r="K56" s="194">
        <f>SUM(K57+K62)</f>
        <v>3500</v>
      </c>
      <c r="L56" s="323">
        <f>SUM(L57+L62)</f>
        <v>3500</v>
      </c>
      <c r="M56" s="194">
        <f>SUM(M57+M62)</f>
        <v>6000</v>
      </c>
      <c r="N56" s="194">
        <f>SUM(N57+N62)</f>
        <v>8500</v>
      </c>
    </row>
    <row r="57" spans="1:14" x14ac:dyDescent="0.2">
      <c r="A57" s="183">
        <f>A56+1</f>
        <v>50</v>
      </c>
      <c r="B57" s="203"/>
      <c r="C57" s="204"/>
      <c r="D57" s="186" t="s">
        <v>182</v>
      </c>
      <c r="E57" s="205"/>
      <c r="F57" s="206"/>
      <c r="G57" s="207">
        <f t="shared" ref="G57:N57" si="15">G58</f>
        <v>593.29999999999995</v>
      </c>
      <c r="H57" s="470">
        <f>H58</f>
        <v>9340</v>
      </c>
      <c r="I57" s="208">
        <f t="shared" si="15"/>
        <v>410</v>
      </c>
      <c r="J57" s="208">
        <f>J58</f>
        <v>6000</v>
      </c>
      <c r="K57" s="208">
        <f t="shared" si="15"/>
        <v>3500</v>
      </c>
      <c r="L57" s="325">
        <f t="shared" si="15"/>
        <v>3500</v>
      </c>
      <c r="M57" s="208">
        <f t="shared" si="15"/>
        <v>6000</v>
      </c>
      <c r="N57" s="208">
        <f t="shared" si="15"/>
        <v>8500</v>
      </c>
    </row>
    <row r="58" spans="1:14" x14ac:dyDescent="0.2">
      <c r="A58" s="183">
        <f>A57+1</f>
        <v>51</v>
      </c>
      <c r="B58" s="236"/>
      <c r="C58" s="348" t="s">
        <v>355</v>
      </c>
      <c r="D58" s="211" t="s">
        <v>354</v>
      </c>
      <c r="E58" s="212"/>
      <c r="F58" s="213"/>
      <c r="G58" s="246">
        <f t="shared" ref="G58:N58" si="16">SUM(G59:G61)</f>
        <v>593.29999999999995</v>
      </c>
      <c r="H58" s="330">
        <f>SUM(H59:H61)</f>
        <v>9340</v>
      </c>
      <c r="I58" s="215">
        <f t="shared" si="16"/>
        <v>410</v>
      </c>
      <c r="J58" s="215">
        <f>SUM(J59:J61)</f>
        <v>6000</v>
      </c>
      <c r="K58" s="215">
        <f t="shared" si="16"/>
        <v>3500</v>
      </c>
      <c r="L58" s="215">
        <f t="shared" si="16"/>
        <v>3500</v>
      </c>
      <c r="M58" s="215">
        <f t="shared" si="16"/>
        <v>6000</v>
      </c>
      <c r="N58" s="215">
        <f t="shared" si="16"/>
        <v>8500</v>
      </c>
    </row>
    <row r="59" spans="1:14" x14ac:dyDescent="0.2">
      <c r="A59" s="183">
        <f>A58+1</f>
        <v>52</v>
      </c>
      <c r="B59" s="236"/>
      <c r="C59" s="267" t="s">
        <v>371</v>
      </c>
      <c r="D59" s="266" t="s">
        <v>216</v>
      </c>
      <c r="E59" s="228" t="s">
        <v>372</v>
      </c>
      <c r="F59" s="234"/>
      <c r="G59" s="438">
        <f>ROUND(M59/30.126,1)</f>
        <v>33.200000000000003</v>
      </c>
      <c r="H59" s="1080">
        <f>výdavky!E341+výdavky!E340+výdavky!E347</f>
        <v>799</v>
      </c>
      <c r="I59" s="283">
        <f>výdavky!F341+výdavky!F340</f>
        <v>410</v>
      </c>
      <c r="J59" s="283">
        <f>výdavky!G340+výdavky!G341</f>
        <v>1000</v>
      </c>
      <c r="K59" s="283">
        <f>výdavky!I341</f>
        <v>0</v>
      </c>
      <c r="L59" s="331">
        <f>výdavky!J341</f>
        <v>0</v>
      </c>
      <c r="M59" s="283">
        <f>výdavky!K341+výdavky!K340</f>
        <v>1000</v>
      </c>
      <c r="N59" s="283">
        <f>výdavky!L341+výdavky!L340</f>
        <v>1000</v>
      </c>
    </row>
    <row r="60" spans="1:14" x14ac:dyDescent="0.2">
      <c r="A60" s="183">
        <f>A59+1</f>
        <v>53</v>
      </c>
      <c r="B60" s="236"/>
      <c r="C60" s="267" t="s">
        <v>371</v>
      </c>
      <c r="D60" s="266" t="s">
        <v>218</v>
      </c>
      <c r="E60" s="228" t="s">
        <v>373</v>
      </c>
      <c r="F60" s="234"/>
      <c r="G60" s="438">
        <f>ROUND(M60/30.126,1)</f>
        <v>149.4</v>
      </c>
      <c r="H60" s="1080">
        <f>výdavky!E349</f>
        <v>8131</v>
      </c>
      <c r="I60" s="283">
        <f>výdavky!F350+výdavky!F351</f>
        <v>0</v>
      </c>
      <c r="J60" s="283">
        <f>výdavky!G349+výdavky!G351</f>
        <v>4500</v>
      </c>
      <c r="K60" s="283">
        <f>výdavky!I349</f>
        <v>3000</v>
      </c>
      <c r="L60" s="331">
        <f>výdavky!J349</f>
        <v>3000</v>
      </c>
      <c r="M60" s="283">
        <f>+výdavky!K351+výdavky!K349</f>
        <v>4500</v>
      </c>
      <c r="N60" s="283">
        <f>výdavky!L349+výdavky!L351</f>
        <v>6500</v>
      </c>
    </row>
    <row r="61" spans="1:14" x14ac:dyDescent="0.2">
      <c r="A61" s="183">
        <f>A60+1</f>
        <v>54</v>
      </c>
      <c r="B61" s="236"/>
      <c r="C61" s="265" t="s">
        <v>215</v>
      </c>
      <c r="D61" s="266" t="s">
        <v>229</v>
      </c>
      <c r="E61" s="228" t="s">
        <v>574</v>
      </c>
      <c r="F61" s="234"/>
      <c r="G61" s="438">
        <f>397.4+13.3</f>
        <v>410.7</v>
      </c>
      <c r="H61" s="1080">
        <f>výdavky!E352</f>
        <v>410</v>
      </c>
      <c r="I61" s="283">
        <f>výdavky!F352</f>
        <v>0</v>
      </c>
      <c r="J61" s="283">
        <f>výdavky!G352</f>
        <v>500</v>
      </c>
      <c r="K61" s="283">
        <f>výdavky!I352</f>
        <v>500</v>
      </c>
      <c r="L61" s="331">
        <f>výdavky!J352</f>
        <v>500</v>
      </c>
      <c r="M61" s="283">
        <f>výdavky!K352</f>
        <v>500</v>
      </c>
      <c r="N61" s="283">
        <f>výdavky!L352</f>
        <v>1000</v>
      </c>
    </row>
    <row r="62" spans="1:14" x14ac:dyDescent="0.2">
      <c r="A62" s="183">
        <v>55</v>
      </c>
      <c r="B62" s="241"/>
      <c r="C62" s="265"/>
      <c r="D62" s="750" t="s">
        <v>184</v>
      </c>
      <c r="E62" s="753"/>
      <c r="F62" s="758"/>
      <c r="G62" s="837">
        <f t="shared" ref="G62:N62" si="17">G63</f>
        <v>0</v>
      </c>
      <c r="H62" s="1084">
        <f>H63</f>
        <v>6405</v>
      </c>
      <c r="I62" s="838">
        <f t="shared" si="17"/>
        <v>0</v>
      </c>
      <c r="J62" s="838">
        <f>J63</f>
        <v>0</v>
      </c>
      <c r="K62" s="838">
        <f t="shared" si="17"/>
        <v>0</v>
      </c>
      <c r="L62" s="839">
        <f t="shared" si="17"/>
        <v>0</v>
      </c>
      <c r="M62" s="838">
        <f t="shared" si="17"/>
        <v>0</v>
      </c>
      <c r="N62" s="838">
        <f t="shared" si="17"/>
        <v>0</v>
      </c>
    </row>
    <row r="63" spans="1:14" x14ac:dyDescent="0.2">
      <c r="A63" s="183">
        <f>A62+1</f>
        <v>56</v>
      </c>
      <c r="B63" s="236"/>
      <c r="C63" s="348" t="s">
        <v>366</v>
      </c>
      <c r="D63" s="211" t="s">
        <v>367</v>
      </c>
      <c r="E63" s="212"/>
      <c r="F63" s="213"/>
      <c r="G63" s="246">
        <f t="shared" ref="G63:N63" si="18">SUM(G64:G64)</f>
        <v>0</v>
      </c>
      <c r="H63" s="330">
        <f>H64</f>
        <v>6405</v>
      </c>
      <c r="I63" s="215">
        <f t="shared" si="18"/>
        <v>0</v>
      </c>
      <c r="J63" s="215">
        <f>J64</f>
        <v>0</v>
      </c>
      <c r="K63" s="215">
        <f t="shared" si="18"/>
        <v>0</v>
      </c>
      <c r="L63" s="439">
        <f t="shared" si="18"/>
        <v>0</v>
      </c>
      <c r="M63" s="215">
        <f t="shared" si="18"/>
        <v>0</v>
      </c>
      <c r="N63" s="215">
        <f t="shared" si="18"/>
        <v>0</v>
      </c>
    </row>
    <row r="64" spans="1:14" x14ac:dyDescent="0.2">
      <c r="A64" s="183">
        <f>A63+1</f>
        <v>57</v>
      </c>
      <c r="B64" s="236"/>
      <c r="C64" s="267" t="s">
        <v>292</v>
      </c>
      <c r="D64" s="266" t="s">
        <v>231</v>
      </c>
      <c r="E64" s="228" t="s">
        <v>1004</v>
      </c>
      <c r="F64" s="234"/>
      <c r="G64" s="235"/>
      <c r="H64" s="475">
        <f>výdavky!E732</f>
        <v>6405</v>
      </c>
      <c r="I64" s="227">
        <f>výdavky!F732</f>
        <v>0</v>
      </c>
      <c r="J64" s="227">
        <f>výdavky!G732</f>
        <v>0</v>
      </c>
      <c r="K64" s="227">
        <f>výdavky!I732</f>
        <v>0</v>
      </c>
      <c r="L64" s="331">
        <f>výdavky!J732</f>
        <v>0</v>
      </c>
      <c r="M64" s="227">
        <f>výdavky!K732</f>
        <v>0</v>
      </c>
      <c r="N64" s="227">
        <f>výdavky!L732</f>
        <v>0</v>
      </c>
    </row>
    <row r="65" spans="1:14" x14ac:dyDescent="0.2">
      <c r="A65" s="183">
        <v>58</v>
      </c>
      <c r="B65" s="188">
        <v>5</v>
      </c>
      <c r="C65" s="289" t="s">
        <v>374</v>
      </c>
      <c r="D65" s="190"/>
      <c r="E65" s="190"/>
      <c r="F65" s="191"/>
      <c r="G65" s="192">
        <f>SUM(G68)</f>
        <v>0</v>
      </c>
      <c r="H65" s="468">
        <f>H66</f>
        <v>15141</v>
      </c>
      <c r="I65" s="194">
        <f>I67</f>
        <v>50</v>
      </c>
      <c r="J65" s="194">
        <f>J66</f>
        <v>0</v>
      </c>
      <c r="K65" s="194">
        <f>K67</f>
        <v>0</v>
      </c>
      <c r="L65" s="323">
        <f>L67</f>
        <v>0</v>
      </c>
      <c r="M65" s="194">
        <f>M67</f>
        <v>0</v>
      </c>
      <c r="N65" s="194">
        <f>N67</f>
        <v>0</v>
      </c>
    </row>
    <row r="66" spans="1:14" x14ac:dyDescent="0.2">
      <c r="A66" s="183">
        <f t="shared" ref="A66:A74" si="19">A65+1</f>
        <v>59</v>
      </c>
      <c r="B66" s="203"/>
      <c r="C66" s="204"/>
      <c r="D66" s="186" t="s">
        <v>182</v>
      </c>
      <c r="E66" s="205"/>
      <c r="F66" s="206"/>
      <c r="G66" s="207">
        <f t="shared" ref="G66:N66" si="20">G67</f>
        <v>0</v>
      </c>
      <c r="H66" s="470">
        <f>H67</f>
        <v>15141</v>
      </c>
      <c r="I66" s="208">
        <f t="shared" si="20"/>
        <v>50</v>
      </c>
      <c r="J66" s="208">
        <f>J67</f>
        <v>0</v>
      </c>
      <c r="K66" s="208">
        <f t="shared" si="20"/>
        <v>0</v>
      </c>
      <c r="L66" s="325">
        <f t="shared" si="20"/>
        <v>0</v>
      </c>
      <c r="M66" s="208">
        <f t="shared" si="20"/>
        <v>0</v>
      </c>
      <c r="N66" s="208">
        <f t="shared" si="20"/>
        <v>0</v>
      </c>
    </row>
    <row r="67" spans="1:14" ht="12" customHeight="1" x14ac:dyDescent="0.2">
      <c r="A67" s="183">
        <f t="shared" si="19"/>
        <v>60</v>
      </c>
      <c r="B67" s="241"/>
      <c r="C67" s="348" t="s">
        <v>375</v>
      </c>
      <c r="D67" s="211" t="s">
        <v>376</v>
      </c>
      <c r="E67" s="212"/>
      <c r="F67" s="213"/>
      <c r="G67" s="246">
        <f>SUM(G68:G68)</f>
        <v>0</v>
      </c>
      <c r="H67" s="330">
        <f>H68+H69</f>
        <v>15141</v>
      </c>
      <c r="I67" s="215">
        <f>SUM(I68:I69)</f>
        <v>50</v>
      </c>
      <c r="J67" s="215">
        <f>J68+J69</f>
        <v>0</v>
      </c>
      <c r="K67" s="215">
        <f>SUM(K68:K69)</f>
        <v>0</v>
      </c>
      <c r="L67" s="215">
        <f>SUM(L68:L69)</f>
        <v>0</v>
      </c>
      <c r="M67" s="215">
        <f>SUM(M68:M69)</f>
        <v>0</v>
      </c>
      <c r="N67" s="215">
        <f>SUM(N68:N69)</f>
        <v>0</v>
      </c>
    </row>
    <row r="68" spans="1:14" x14ac:dyDescent="0.2">
      <c r="A68" s="183">
        <f t="shared" si="19"/>
        <v>61</v>
      </c>
      <c r="B68" s="241"/>
      <c r="C68" s="267" t="s">
        <v>371</v>
      </c>
      <c r="D68" s="266" t="s">
        <v>216</v>
      </c>
      <c r="E68" s="224" t="s">
        <v>377</v>
      </c>
      <c r="F68" s="254"/>
      <c r="G68" s="235">
        <f>ROUND(M68/30.126,1)</f>
        <v>0</v>
      </c>
      <c r="H68" s="475">
        <v>0</v>
      </c>
      <c r="I68" s="227"/>
      <c r="J68" s="227">
        <v>0</v>
      </c>
      <c r="K68" s="227">
        <v>0</v>
      </c>
      <c r="L68" s="331">
        <v>0</v>
      </c>
      <c r="M68" s="227">
        <v>0</v>
      </c>
      <c r="N68" s="227">
        <v>0</v>
      </c>
    </row>
    <row r="69" spans="1:14" x14ac:dyDescent="0.2">
      <c r="A69" s="183">
        <f t="shared" si="19"/>
        <v>62</v>
      </c>
      <c r="B69" s="236"/>
      <c r="C69" s="267" t="s">
        <v>371</v>
      </c>
      <c r="D69" s="266" t="s">
        <v>218</v>
      </c>
      <c r="E69" s="224" t="s">
        <v>378</v>
      </c>
      <c r="F69" s="254"/>
      <c r="G69" s="235">
        <v>1.8</v>
      </c>
      <c r="H69" s="475">
        <f>výdavky!E374</f>
        <v>15141</v>
      </c>
      <c r="I69" s="227">
        <f>výdavky!F374</f>
        <v>50</v>
      </c>
      <c r="J69" s="227">
        <f>výdavky!G374</f>
        <v>0</v>
      </c>
      <c r="K69" s="227">
        <f>výdavky!I374</f>
        <v>0</v>
      </c>
      <c r="L69" s="331">
        <f>výdavky!J374</f>
        <v>0</v>
      </c>
      <c r="M69" s="227">
        <f>výdavky!K374</f>
        <v>0</v>
      </c>
      <c r="N69" s="227">
        <f>výdavky!L374</f>
        <v>0</v>
      </c>
    </row>
    <row r="70" spans="1:14" s="148" customFormat="1" x14ac:dyDescent="0.2">
      <c r="A70" s="183">
        <f t="shared" si="19"/>
        <v>63</v>
      </c>
      <c r="B70" s="284">
        <v>6</v>
      </c>
      <c r="C70" s="285" t="s">
        <v>379</v>
      </c>
      <c r="D70" s="190"/>
      <c r="E70" s="190"/>
      <c r="F70" s="191"/>
      <c r="G70" s="192">
        <f>G72+F75</f>
        <v>99.600000000000009</v>
      </c>
      <c r="H70" s="468">
        <f>H71</f>
        <v>1225</v>
      </c>
      <c r="I70" s="194">
        <f t="shared" ref="I70:N71" si="21">I71</f>
        <v>1414</v>
      </c>
      <c r="J70" s="194">
        <f>J71</f>
        <v>3000</v>
      </c>
      <c r="K70" s="194">
        <f t="shared" si="21"/>
        <v>3000</v>
      </c>
      <c r="L70" s="323">
        <f t="shared" si="21"/>
        <v>3000</v>
      </c>
      <c r="M70" s="194">
        <f t="shared" si="21"/>
        <v>3000</v>
      </c>
      <c r="N70" s="194">
        <f t="shared" si="21"/>
        <v>3000</v>
      </c>
    </row>
    <row r="71" spans="1:14" x14ac:dyDescent="0.2">
      <c r="A71" s="183">
        <f t="shared" si="19"/>
        <v>64</v>
      </c>
      <c r="B71" s="286"/>
      <c r="C71" s="276"/>
      <c r="D71" s="185" t="s">
        <v>182</v>
      </c>
      <c r="E71" s="205"/>
      <c r="F71" s="206"/>
      <c r="G71" s="207">
        <f>G72+F75</f>
        <v>99.600000000000009</v>
      </c>
      <c r="H71" s="470">
        <f>H72</f>
        <v>1225</v>
      </c>
      <c r="I71" s="208">
        <f t="shared" si="21"/>
        <v>1414</v>
      </c>
      <c r="J71" s="208">
        <f>J72</f>
        <v>3000</v>
      </c>
      <c r="K71" s="208">
        <f t="shared" si="21"/>
        <v>3000</v>
      </c>
      <c r="L71" s="325">
        <f t="shared" si="21"/>
        <v>3000</v>
      </c>
      <c r="M71" s="208">
        <f t="shared" si="21"/>
        <v>3000</v>
      </c>
      <c r="N71" s="208">
        <f t="shared" si="21"/>
        <v>3000</v>
      </c>
    </row>
    <row r="72" spans="1:14" x14ac:dyDescent="0.2">
      <c r="A72" s="183">
        <f t="shared" si="19"/>
        <v>65</v>
      </c>
      <c r="B72" s="209"/>
      <c r="C72" s="348" t="s">
        <v>375</v>
      </c>
      <c r="D72" s="244" t="s">
        <v>376</v>
      </c>
      <c r="E72" s="212"/>
      <c r="F72" s="213"/>
      <c r="G72" s="246">
        <f t="shared" ref="G72:N72" si="22">SUM(G73:G74)</f>
        <v>99.600000000000009</v>
      </c>
      <c r="H72" s="330">
        <f>H73+H74</f>
        <v>1225</v>
      </c>
      <c r="I72" s="215">
        <f t="shared" si="22"/>
        <v>1414</v>
      </c>
      <c r="J72" s="215">
        <f>J73+J74</f>
        <v>3000</v>
      </c>
      <c r="K72" s="215">
        <f t="shared" si="22"/>
        <v>3000</v>
      </c>
      <c r="L72" s="215">
        <f t="shared" si="22"/>
        <v>3000</v>
      </c>
      <c r="M72" s="215">
        <f t="shared" si="22"/>
        <v>3000</v>
      </c>
      <c r="N72" s="215">
        <f t="shared" si="22"/>
        <v>3000</v>
      </c>
    </row>
    <row r="73" spans="1:14" x14ac:dyDescent="0.2">
      <c r="A73" s="183">
        <f t="shared" si="19"/>
        <v>66</v>
      </c>
      <c r="B73" s="209"/>
      <c r="C73" s="267" t="s">
        <v>197</v>
      </c>
      <c r="D73" s="266" t="s">
        <v>216</v>
      </c>
      <c r="E73" s="228" t="s">
        <v>346</v>
      </c>
      <c r="F73" s="234"/>
      <c r="G73" s="235">
        <f>ROUND(M73/30.126,1)</f>
        <v>66.400000000000006</v>
      </c>
      <c r="H73" s="475">
        <f>výdavky!E372</f>
        <v>775</v>
      </c>
      <c r="I73" s="227">
        <f>výdavky!F372</f>
        <v>964</v>
      </c>
      <c r="J73" s="227">
        <f>výdavky!G372</f>
        <v>2000</v>
      </c>
      <c r="K73" s="227">
        <f>výdavky!I372</f>
        <v>2000</v>
      </c>
      <c r="L73" s="331">
        <f>výdavky!J372</f>
        <v>2000</v>
      </c>
      <c r="M73" s="227">
        <f>výdavky!K372</f>
        <v>2000</v>
      </c>
      <c r="N73" s="227">
        <f>výdavky!L372</f>
        <v>2000</v>
      </c>
    </row>
    <row r="74" spans="1:14" x14ac:dyDescent="0.2">
      <c r="A74" s="296">
        <f t="shared" si="19"/>
        <v>67</v>
      </c>
      <c r="B74" s="384"/>
      <c r="C74" s="385" t="s">
        <v>203</v>
      </c>
      <c r="D74" s="334" t="s">
        <v>218</v>
      </c>
      <c r="E74" s="386" t="s">
        <v>379</v>
      </c>
      <c r="F74" s="387"/>
      <c r="G74" s="388">
        <f>ROUND(M74/30.126,1)</f>
        <v>33.200000000000003</v>
      </c>
      <c r="H74" s="485">
        <f>výdavky!E373</f>
        <v>450</v>
      </c>
      <c r="I74" s="339">
        <f>výdavky!F373</f>
        <v>450</v>
      </c>
      <c r="J74" s="339">
        <f>výdavky!G373</f>
        <v>1000</v>
      </c>
      <c r="K74" s="339">
        <f>výdavky!I373</f>
        <v>1000</v>
      </c>
      <c r="L74" s="338">
        <f>výdavky!J373</f>
        <v>1000</v>
      </c>
      <c r="M74" s="339">
        <f>výdavky!K373</f>
        <v>1000</v>
      </c>
      <c r="N74" s="339">
        <f>výdavky!L373</f>
        <v>1000</v>
      </c>
    </row>
    <row r="75" spans="1:14" x14ac:dyDescent="0.2">
      <c r="A75" s="1"/>
      <c r="B75"/>
      <c r="D75" s="449"/>
      <c r="N75" s="450"/>
    </row>
    <row r="76" spans="1:14" x14ac:dyDescent="0.2">
      <c r="A76" s="1"/>
      <c r="B76"/>
      <c r="N76" s="450"/>
    </row>
    <row r="77" spans="1:14" x14ac:dyDescent="0.2">
      <c r="A77" s="1"/>
      <c r="B77"/>
      <c r="N77" s="450"/>
    </row>
    <row r="78" spans="1:14" x14ac:dyDescent="0.2">
      <c r="A78" s="1"/>
      <c r="B78"/>
      <c r="N78" s="450"/>
    </row>
    <row r="79" spans="1:14" x14ac:dyDescent="0.2">
      <c r="A79" s="1"/>
      <c r="B79"/>
      <c r="N79" s="450"/>
    </row>
    <row r="80" spans="1:14" x14ac:dyDescent="0.2">
      <c r="A80" s="1"/>
      <c r="B80"/>
      <c r="N80" s="450"/>
    </row>
    <row r="81" spans="1:14" x14ac:dyDescent="0.2">
      <c r="A81" s="1"/>
      <c r="B81"/>
      <c r="N81" s="450"/>
    </row>
    <row r="82" spans="1:14" x14ac:dyDescent="0.2">
      <c r="A82" s="1"/>
      <c r="B82"/>
      <c r="N82" s="450"/>
    </row>
    <row r="83" spans="1:14" x14ac:dyDescent="0.2">
      <c r="A83" s="1"/>
      <c r="B83"/>
      <c r="N83" s="450"/>
    </row>
    <row r="84" spans="1:14" x14ac:dyDescent="0.2">
      <c r="A84" s="1"/>
      <c r="B84"/>
      <c r="N84" s="450"/>
    </row>
    <row r="85" spans="1:14" x14ac:dyDescent="0.2">
      <c r="A85" s="1"/>
      <c r="B85"/>
      <c r="N85" s="450"/>
    </row>
    <row r="86" spans="1:14" x14ac:dyDescent="0.2">
      <c r="A86" s="1"/>
      <c r="B86"/>
      <c r="N86" s="450"/>
    </row>
    <row r="87" spans="1:14" x14ac:dyDescent="0.2">
      <c r="A87" s="1"/>
      <c r="B87"/>
      <c r="N87" s="450"/>
    </row>
    <row r="88" spans="1:14" x14ac:dyDescent="0.2">
      <c r="A88" s="1"/>
      <c r="B88"/>
      <c r="N88" s="450"/>
    </row>
    <row r="89" spans="1:14" x14ac:dyDescent="0.2">
      <c r="A89" s="1"/>
      <c r="B89"/>
      <c r="N89" s="450"/>
    </row>
    <row r="90" spans="1:14" x14ac:dyDescent="0.2">
      <c r="A90" s="1"/>
      <c r="B90"/>
      <c r="N90" s="450"/>
    </row>
    <row r="91" spans="1:14" x14ac:dyDescent="0.2">
      <c r="A91" s="1"/>
      <c r="B91"/>
      <c r="N91" s="450"/>
    </row>
    <row r="92" spans="1:14" x14ac:dyDescent="0.2">
      <c r="A92" s="1"/>
      <c r="B92"/>
      <c r="N92" s="450"/>
    </row>
    <row r="93" spans="1:14" x14ac:dyDescent="0.2">
      <c r="A93" s="1"/>
      <c r="B93"/>
      <c r="N93" s="450"/>
    </row>
    <row r="94" spans="1:14" x14ac:dyDescent="0.2">
      <c r="A94" s="1"/>
      <c r="B94"/>
      <c r="N94" s="450"/>
    </row>
    <row r="95" spans="1:14" x14ac:dyDescent="0.2">
      <c r="A95" s="1"/>
      <c r="B95"/>
      <c r="N95" s="450"/>
    </row>
    <row r="96" spans="1:14" x14ac:dyDescent="0.2">
      <c r="A96" s="1"/>
      <c r="B96"/>
      <c r="N96" s="450"/>
    </row>
    <row r="97" spans="1:14" x14ac:dyDescent="0.2">
      <c r="A97" s="1"/>
      <c r="B97"/>
      <c r="N97" s="450"/>
    </row>
    <row r="98" spans="1:14" x14ac:dyDescent="0.2">
      <c r="A98" s="1"/>
      <c r="B98"/>
      <c r="N98" s="450"/>
    </row>
    <row r="99" spans="1:14" x14ac:dyDescent="0.2">
      <c r="A99" s="1"/>
      <c r="B99"/>
      <c r="N99" s="450"/>
    </row>
    <row r="100" spans="1:14" x14ac:dyDescent="0.2">
      <c r="A100" s="1"/>
      <c r="B100"/>
      <c r="N100" s="450"/>
    </row>
    <row r="101" spans="1:14" x14ac:dyDescent="0.2">
      <c r="A101" s="1"/>
      <c r="B101"/>
      <c r="N101" s="450"/>
    </row>
    <row r="102" spans="1:14" x14ac:dyDescent="0.2">
      <c r="A102" s="1"/>
      <c r="B102"/>
      <c r="N102" s="450"/>
    </row>
    <row r="103" spans="1:14" x14ac:dyDescent="0.2">
      <c r="A103" s="1"/>
      <c r="B103"/>
      <c r="N103" s="450"/>
    </row>
    <row r="104" spans="1:14" x14ac:dyDescent="0.2">
      <c r="A104" s="1"/>
      <c r="B104"/>
      <c r="N104" s="450"/>
    </row>
    <row r="105" spans="1:14" x14ac:dyDescent="0.2">
      <c r="A105" s="1"/>
      <c r="B105"/>
      <c r="N105" s="450"/>
    </row>
    <row r="106" spans="1:14" x14ac:dyDescent="0.2">
      <c r="A106" s="1"/>
      <c r="B106"/>
      <c r="N106" s="450"/>
    </row>
  </sheetData>
  <mergeCells count="9">
    <mergeCell ref="D52:E52"/>
    <mergeCell ref="D53:E53"/>
    <mergeCell ref="E54:F54"/>
    <mergeCell ref="D49:E49"/>
    <mergeCell ref="G3:N3"/>
    <mergeCell ref="D4:F6"/>
    <mergeCell ref="D47:E47"/>
    <mergeCell ref="D48:E48"/>
    <mergeCell ref="D51:E51"/>
  </mergeCells>
  <phoneticPr fontId="44" type="noConversion"/>
  <pageMargins left="0.25" right="0.25" top="0.75" bottom="0.75" header="0.3" footer="0.3"/>
  <pageSetup paperSize="9" scale="77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zoomScaleNormal="100" workbookViewId="0">
      <selection activeCell="C17" sqref="C17"/>
    </sheetView>
  </sheetViews>
  <sheetFormatPr defaultRowHeight="12.75" x14ac:dyDescent="0.2"/>
  <cols>
    <col min="1" max="1" width="3.5703125" style="147" customWidth="1"/>
    <col min="2" max="2" width="4.140625" style="1" customWidth="1"/>
    <col min="3" max="3" width="7.5703125" customWidth="1"/>
    <col min="4" max="4" width="3.42578125" customWidth="1"/>
    <col min="5" max="5" width="31.42578125" customWidth="1"/>
    <col min="7" max="7" width="0" hidden="1" customWidth="1"/>
    <col min="8" max="9" width="8" customWidth="1"/>
    <col min="10" max="10" width="8.140625" customWidth="1"/>
    <col min="11" max="11" width="7.5703125" customWidth="1"/>
    <col min="12" max="12" width="8.5703125" customWidth="1"/>
    <col min="13" max="13" width="8.42578125" customWidth="1"/>
    <col min="14" max="14" width="9.7109375" customWidth="1"/>
  </cols>
  <sheetData>
    <row r="1" spans="1:15" ht="15.75" x14ac:dyDescent="0.25">
      <c r="B1" s="151" t="s">
        <v>380</v>
      </c>
      <c r="E1" s="151" t="s">
        <v>381</v>
      </c>
      <c r="F1" s="149"/>
      <c r="G1" s="306" t="e">
        <f>G2-G7</f>
        <v>#REF!</v>
      </c>
      <c r="H1" s="306"/>
      <c r="I1" s="306"/>
      <c r="J1" s="306"/>
      <c r="K1" s="306"/>
      <c r="L1" s="305">
        <f>L2-L7</f>
        <v>0</v>
      </c>
      <c r="M1" s="305">
        <f>M2-M7</f>
        <v>0</v>
      </c>
      <c r="N1" s="305">
        <f>N2-N7</f>
        <v>0</v>
      </c>
      <c r="O1" s="451"/>
    </row>
    <row r="2" spans="1:15" ht="16.5" thickBot="1" x14ac:dyDescent="0.3">
      <c r="B2" s="151"/>
      <c r="F2" s="149"/>
      <c r="G2" s="306" t="e">
        <f>SUM(G8:G10)</f>
        <v>#REF!</v>
      </c>
      <c r="H2" s="306"/>
      <c r="I2" s="306"/>
      <c r="J2" s="306"/>
      <c r="K2" s="306"/>
      <c r="L2" s="305">
        <f>SUM(L8:L10)</f>
        <v>1369321</v>
      </c>
      <c r="M2" s="305">
        <f>SUM(M8:M10)</f>
        <v>1536648</v>
      </c>
      <c r="N2" s="305">
        <f>SUM(N8:N10)</f>
        <v>1594478</v>
      </c>
      <c r="O2" s="451"/>
    </row>
    <row r="3" spans="1:15" ht="16.5" thickBot="1" x14ac:dyDescent="0.3">
      <c r="A3" s="1941"/>
      <c r="B3" s="1942"/>
      <c r="C3" s="1943"/>
      <c r="D3" s="1943"/>
      <c r="E3" s="1944"/>
      <c r="F3" s="1945"/>
      <c r="G3" s="3733" t="s">
        <v>169</v>
      </c>
      <c r="H3" s="3734"/>
      <c r="I3" s="3733"/>
      <c r="J3" s="3733"/>
      <c r="K3" s="3733"/>
      <c r="L3" s="3733"/>
      <c r="M3" s="3733"/>
      <c r="N3" s="3735"/>
    </row>
    <row r="4" spans="1:15" ht="12" customHeight="1" thickBot="1" x14ac:dyDescent="0.25">
      <c r="A4" s="1946"/>
      <c r="B4" s="166" t="s">
        <v>170</v>
      </c>
      <c r="C4" s="167" t="s">
        <v>171</v>
      </c>
      <c r="D4" s="3715" t="s">
        <v>172</v>
      </c>
      <c r="E4" s="3715"/>
      <c r="F4" s="3715"/>
      <c r="G4" s="168"/>
      <c r="H4" s="890">
        <v>2019</v>
      </c>
      <c r="I4" s="169">
        <v>2020</v>
      </c>
      <c r="J4" s="169" t="s">
        <v>995</v>
      </c>
      <c r="K4" s="169" t="s">
        <v>992</v>
      </c>
      <c r="L4" s="169">
        <v>2022</v>
      </c>
      <c r="M4" s="169">
        <v>2023</v>
      </c>
      <c r="N4" s="169">
        <v>2024</v>
      </c>
    </row>
    <row r="5" spans="1:15" ht="12" customHeight="1" thickBot="1" x14ac:dyDescent="0.25">
      <c r="A5" s="1946"/>
      <c r="B5" s="166" t="s">
        <v>173</v>
      </c>
      <c r="C5" s="167" t="s">
        <v>174</v>
      </c>
      <c r="D5" s="3715"/>
      <c r="E5" s="3715"/>
      <c r="F5" s="3715"/>
      <c r="G5" s="170" t="s">
        <v>175</v>
      </c>
      <c r="H5" s="914" t="s">
        <v>176</v>
      </c>
      <c r="I5" s="172" t="s">
        <v>177</v>
      </c>
      <c r="J5" s="172" t="s">
        <v>176</v>
      </c>
      <c r="K5" s="172" t="s">
        <v>177</v>
      </c>
      <c r="L5" s="452" t="s">
        <v>176</v>
      </c>
      <c r="M5" s="172" t="s">
        <v>177</v>
      </c>
      <c r="N5" s="1947" t="s">
        <v>177</v>
      </c>
    </row>
    <row r="6" spans="1:15" ht="13.5" thickBot="1" x14ac:dyDescent="0.25">
      <c r="A6" s="1946"/>
      <c r="B6" s="166" t="s">
        <v>178</v>
      </c>
      <c r="C6" s="167" t="s">
        <v>179</v>
      </c>
      <c r="D6" s="3715"/>
      <c r="E6" s="3715"/>
      <c r="F6" s="3715"/>
      <c r="G6" s="173">
        <v>1</v>
      </c>
      <c r="H6" s="915">
        <v>-3</v>
      </c>
      <c r="I6" s="175">
        <v>-2</v>
      </c>
      <c r="J6" s="175">
        <v>-1</v>
      </c>
      <c r="K6" s="175">
        <v>-1</v>
      </c>
      <c r="L6" s="175">
        <v>0</v>
      </c>
      <c r="M6" s="175">
        <v>1</v>
      </c>
      <c r="N6" s="1948">
        <v>2</v>
      </c>
    </row>
    <row r="7" spans="1:15" ht="15" x14ac:dyDescent="0.25">
      <c r="A7" s="1953">
        <v>1</v>
      </c>
      <c r="B7" s="1955" t="s">
        <v>380</v>
      </c>
      <c r="C7" s="1956"/>
      <c r="D7" s="1957"/>
      <c r="E7" s="1958" t="s">
        <v>381</v>
      </c>
      <c r="F7" s="1959"/>
      <c r="G7" s="1960" t="e">
        <f>G11+G24+G44+#REF!+#REF!+#REF!+#REF!+#REF!</f>
        <v>#REF!</v>
      </c>
      <c r="H7" s="3439">
        <f>H8+H9+H10</f>
        <v>1360784.36</v>
      </c>
      <c r="I7" s="1961">
        <f>SUM(I8:I10)</f>
        <v>1667647.74</v>
      </c>
      <c r="J7" s="1962">
        <f>J8+J9+J10</f>
        <v>1396375</v>
      </c>
      <c r="K7" s="1962">
        <f>SUM(K8:K10)</f>
        <v>1333537</v>
      </c>
      <c r="L7" s="1963">
        <f>SUM(L8:L10)</f>
        <v>1369321</v>
      </c>
      <c r="M7" s="1962">
        <f>SUM(M8:M10)</f>
        <v>1536648</v>
      </c>
      <c r="N7" s="1964">
        <f>SUM(N8:N10)</f>
        <v>1594478</v>
      </c>
    </row>
    <row r="8" spans="1:15" x14ac:dyDescent="0.2">
      <c r="A8" s="1927">
        <f>A7+1</f>
        <v>2</v>
      </c>
      <c r="B8" s="1965" t="s">
        <v>181</v>
      </c>
      <c r="C8" s="827" t="s">
        <v>182</v>
      </c>
      <c r="D8" s="828"/>
      <c r="E8" s="829"/>
      <c r="F8" s="830"/>
      <c r="G8" s="831" t="e">
        <f>G12+#REF!+#REF!+#REF!+#REF!+#REF!+#REF!+#REF!</f>
        <v>#REF!</v>
      </c>
      <c r="H8" s="3440">
        <f>H12+H25+H45+H58</f>
        <v>1155857.3600000001</v>
      </c>
      <c r="I8" s="3438">
        <f>SUM(I12,I25,I45)+I58</f>
        <v>1304230.74</v>
      </c>
      <c r="J8" s="1775">
        <f>J12+J25+J45+J58</f>
        <v>1396375</v>
      </c>
      <c r="K8" s="1775">
        <f>SUM(K12,K25,K45)+K58</f>
        <v>1331603</v>
      </c>
      <c r="L8" s="832">
        <f>SUM(L12,L25,L45,L58)</f>
        <v>1349321</v>
      </c>
      <c r="M8" s="1775">
        <f>SUM(M12,M25,M45,M58)</f>
        <v>1536648</v>
      </c>
      <c r="N8" s="1949">
        <f>SUM(N12,N25,N45,N58)</f>
        <v>1594478</v>
      </c>
    </row>
    <row r="9" spans="1:15" x14ac:dyDescent="0.2">
      <c r="A9" s="1927">
        <f>A8+1</f>
        <v>3</v>
      </c>
      <c r="B9" s="1965" t="s">
        <v>183</v>
      </c>
      <c r="C9" s="747" t="s">
        <v>184</v>
      </c>
      <c r="D9" s="748"/>
      <c r="E9" s="749"/>
      <c r="F9" s="750"/>
      <c r="G9" s="751" t="e">
        <f>G20+#REF!+#REF!+#REF!+#REF!</f>
        <v>#REF!</v>
      </c>
      <c r="H9" s="1019">
        <f>H20+H40</f>
        <v>204927</v>
      </c>
      <c r="I9" s="906">
        <f>SUM(I20+I40)</f>
        <v>363417</v>
      </c>
      <c r="J9" s="752">
        <f>J20+J40</f>
        <v>0</v>
      </c>
      <c r="K9" s="760">
        <f>K20+K40</f>
        <v>1934</v>
      </c>
      <c r="L9" s="752">
        <f>L20+L40</f>
        <v>20000</v>
      </c>
      <c r="M9" s="752">
        <f>M20+M40</f>
        <v>0</v>
      </c>
      <c r="N9" s="1950">
        <f>SUM(N20+N40)</f>
        <v>0</v>
      </c>
    </row>
    <row r="10" spans="1:15" ht="13.5" thickBot="1" x14ac:dyDescent="0.25">
      <c r="A10" s="1927">
        <f>A9+1</f>
        <v>4</v>
      </c>
      <c r="B10" s="1965"/>
      <c r="C10" s="987" t="s">
        <v>185</v>
      </c>
      <c r="D10" s="988"/>
      <c r="E10" s="989"/>
      <c r="F10" s="990"/>
      <c r="G10" s="991">
        <v>0</v>
      </c>
      <c r="H10" s="1020">
        <v>0</v>
      </c>
      <c r="I10" s="992">
        <v>0</v>
      </c>
      <c r="J10" s="993">
        <v>0</v>
      </c>
      <c r="K10" s="1925">
        <v>0</v>
      </c>
      <c r="L10" s="994">
        <v>0</v>
      </c>
      <c r="M10" s="993">
        <v>0</v>
      </c>
      <c r="N10" s="1951">
        <v>0</v>
      </c>
    </row>
    <row r="11" spans="1:15" x14ac:dyDescent="0.2">
      <c r="A11" s="1927">
        <v>5</v>
      </c>
      <c r="B11" s="833">
        <v>1</v>
      </c>
      <c r="C11" s="813" t="s">
        <v>164</v>
      </c>
      <c r="D11" s="822"/>
      <c r="E11" s="822"/>
      <c r="F11" s="823"/>
      <c r="G11" s="814" t="e">
        <f>G13+G21</f>
        <v>#REF!</v>
      </c>
      <c r="H11" s="1021">
        <f>H12+H20</f>
        <v>415321.12</v>
      </c>
      <c r="I11" s="815">
        <f>SUM(I12+I20)</f>
        <v>603064.79</v>
      </c>
      <c r="J11" s="762">
        <f>J12+J20</f>
        <v>242050</v>
      </c>
      <c r="K11" s="815">
        <f>SUM(K12+K20)</f>
        <v>291503</v>
      </c>
      <c r="L11" s="762">
        <f>SUM(L12+L20)</f>
        <v>272510</v>
      </c>
      <c r="M11" s="762">
        <f>SUM(M12+M20)</f>
        <v>342300</v>
      </c>
      <c r="N11" s="917">
        <f>SUM(N12+N20)</f>
        <v>400130</v>
      </c>
    </row>
    <row r="12" spans="1:15" x14ac:dyDescent="0.2">
      <c r="A12" s="1927">
        <f t="shared" ref="A12:A19" si="0">A11+1</f>
        <v>6</v>
      </c>
      <c r="B12" s="1966"/>
      <c r="C12" s="204"/>
      <c r="D12" s="185" t="s">
        <v>182</v>
      </c>
      <c r="E12" s="205"/>
      <c r="F12" s="205"/>
      <c r="G12" s="809">
        <f t="shared" ref="G12:N12" si="1">G13</f>
        <v>11189.7</v>
      </c>
      <c r="H12" s="692">
        <f>H13</f>
        <v>227204.12</v>
      </c>
      <c r="I12" s="835">
        <f t="shared" si="1"/>
        <v>251406.79</v>
      </c>
      <c r="J12" s="836">
        <f>J13</f>
        <v>242050</v>
      </c>
      <c r="K12" s="835">
        <f t="shared" si="1"/>
        <v>289569</v>
      </c>
      <c r="L12" s="836">
        <f t="shared" si="1"/>
        <v>272510</v>
      </c>
      <c r="M12" s="836">
        <f t="shared" si="1"/>
        <v>342300</v>
      </c>
      <c r="N12" s="918">
        <f t="shared" si="1"/>
        <v>400130</v>
      </c>
    </row>
    <row r="13" spans="1:15" x14ac:dyDescent="0.2">
      <c r="A13" s="1927">
        <f t="shared" si="0"/>
        <v>7</v>
      </c>
      <c r="B13" s="1967"/>
      <c r="C13" s="327" t="s">
        <v>382</v>
      </c>
      <c r="D13" s="797" t="s">
        <v>383</v>
      </c>
      <c r="E13" s="798"/>
      <c r="F13" s="799"/>
      <c r="G13" s="784">
        <f t="shared" ref="G13:N13" si="2">SUM(G14:G19)</f>
        <v>11189.7</v>
      </c>
      <c r="H13" s="697">
        <f>SUM(H14:H19)</f>
        <v>227204.12</v>
      </c>
      <c r="I13" s="770">
        <f t="shared" si="2"/>
        <v>251406.79</v>
      </c>
      <c r="J13" s="697">
        <f>SUM(J14:J19)</f>
        <v>242050</v>
      </c>
      <c r="K13" s="770">
        <f>SUM(K14:K19)</f>
        <v>289569</v>
      </c>
      <c r="L13" s="697">
        <f>SUM(L14:L19)</f>
        <v>272510</v>
      </c>
      <c r="M13" s="697">
        <f t="shared" si="2"/>
        <v>342300</v>
      </c>
      <c r="N13" s="919">
        <f t="shared" si="2"/>
        <v>400130</v>
      </c>
    </row>
    <row r="14" spans="1:15" x14ac:dyDescent="0.2">
      <c r="A14" s="1927">
        <f t="shared" si="0"/>
        <v>8</v>
      </c>
      <c r="B14" s="1967"/>
      <c r="C14" s="265" t="s">
        <v>384</v>
      </c>
      <c r="D14" s="774" t="s">
        <v>216</v>
      </c>
      <c r="E14" s="739" t="s">
        <v>385</v>
      </c>
      <c r="F14" s="781"/>
      <c r="G14" s="226">
        <f>ROUND(M14/30.126,1)</f>
        <v>8627.1</v>
      </c>
      <c r="H14" s="695">
        <f>výdavky!E384+výdavky!E386</f>
        <v>167363.78</v>
      </c>
      <c r="I14" s="331">
        <f>výdavky!F384+výdavky!F386+výdavky!F419+výdavky!F420</f>
        <v>207828.2</v>
      </c>
      <c r="J14" s="695">
        <f>výdavky!G384+výdavky!G386</f>
        <v>165300</v>
      </c>
      <c r="K14" s="331">
        <f>výdavky!I384+výdavky!I386+výdavky!I385</f>
        <v>191898</v>
      </c>
      <c r="L14" s="695">
        <f>výdavky!J384+výdavky!J386++výdavky!J385</f>
        <v>191900</v>
      </c>
      <c r="M14" s="695">
        <f>výdavky!K384+výdavky!K386+výdavky!K419+výdavky!K420</f>
        <v>259900</v>
      </c>
      <c r="N14" s="920">
        <f>výdavky!L384+výdavky!L386+výdavky!L419+výdavky!L420</f>
        <v>315520</v>
      </c>
    </row>
    <row r="15" spans="1:15" x14ac:dyDescent="0.2">
      <c r="A15" s="1927">
        <f t="shared" si="0"/>
        <v>9</v>
      </c>
      <c r="B15" s="1967"/>
      <c r="C15" s="265" t="s">
        <v>386</v>
      </c>
      <c r="D15" s="774" t="s">
        <v>218</v>
      </c>
      <c r="E15" s="739" t="s">
        <v>363</v>
      </c>
      <c r="F15" s="781"/>
      <c r="G15" s="226">
        <f>ROUND(M15/30.126,1)</f>
        <v>1450.6</v>
      </c>
      <c r="H15" s="695">
        <f>výdavky!E388</f>
        <v>59840.34</v>
      </c>
      <c r="I15" s="331">
        <f>výdavky!F388+výdavky!F420</f>
        <v>43578.59</v>
      </c>
      <c r="J15" s="695">
        <f>výdavky!G388</f>
        <v>37640</v>
      </c>
      <c r="K15" s="331">
        <f>výdavky!I388</f>
        <v>52819</v>
      </c>
      <c r="L15" s="695">
        <f>výdavky!J388-výdavky!J412</f>
        <v>33400</v>
      </c>
      <c r="M15" s="695">
        <f>výdavky!K388-výdavky!K412</f>
        <v>43700</v>
      </c>
      <c r="N15" s="920">
        <f>výdavky!L388-výdavky!L412</f>
        <v>46900</v>
      </c>
    </row>
    <row r="16" spans="1:15" x14ac:dyDescent="0.2">
      <c r="A16" s="1927">
        <v>10</v>
      </c>
      <c r="B16" s="1967"/>
      <c r="C16" s="265" t="s">
        <v>386</v>
      </c>
      <c r="D16" s="774" t="s">
        <v>229</v>
      </c>
      <c r="E16" s="807" t="s">
        <v>800</v>
      </c>
      <c r="F16" s="808"/>
      <c r="G16" s="789"/>
      <c r="H16" s="763">
        <v>0</v>
      </c>
      <c r="I16" s="757"/>
      <c r="J16" s="763">
        <v>0</v>
      </c>
      <c r="K16" s="757">
        <f>výdavky!I417</f>
        <v>3205</v>
      </c>
      <c r="L16" s="763">
        <v>0</v>
      </c>
      <c r="M16" s="763">
        <v>0</v>
      </c>
      <c r="N16" s="921">
        <v>0</v>
      </c>
    </row>
    <row r="17" spans="1:14" x14ac:dyDescent="0.2">
      <c r="A17" s="1927">
        <v>11</v>
      </c>
      <c r="B17" s="1967"/>
      <c r="C17" s="265" t="s">
        <v>199</v>
      </c>
      <c r="D17" s="774" t="s">
        <v>231</v>
      </c>
      <c r="E17" s="739" t="s">
        <v>758</v>
      </c>
      <c r="F17" s="781"/>
      <c r="G17" s="226">
        <f>ROUND(M17/30.126,1)</f>
        <v>1112</v>
      </c>
      <c r="H17" s="695">
        <f>výdavky!E421</f>
        <v>0</v>
      </c>
      <c r="I17" s="331">
        <f>výdavky!E421</f>
        <v>0</v>
      </c>
      <c r="J17" s="695">
        <f>výdavky!G418</f>
        <v>39110</v>
      </c>
      <c r="K17" s="331">
        <f>výdavky!I418</f>
        <v>41647</v>
      </c>
      <c r="L17" s="695">
        <f>výdavky!J418</f>
        <v>43010</v>
      </c>
      <c r="M17" s="695">
        <f>výdavky!K421</f>
        <v>33500</v>
      </c>
      <c r="N17" s="920">
        <f>výdavky!L421</f>
        <v>31410</v>
      </c>
    </row>
    <row r="18" spans="1:14" x14ac:dyDescent="0.2">
      <c r="A18" s="1927">
        <f t="shared" si="0"/>
        <v>12</v>
      </c>
      <c r="B18" s="1967"/>
      <c r="C18" s="265" t="s">
        <v>371</v>
      </c>
      <c r="D18" s="774" t="s">
        <v>233</v>
      </c>
      <c r="E18" s="807" t="s">
        <v>388</v>
      </c>
      <c r="F18" s="806"/>
      <c r="G18" s="787"/>
      <c r="H18" s="1022">
        <f>výdavky!E413</f>
        <v>0</v>
      </c>
      <c r="I18" s="455">
        <f>výdavky!E413</f>
        <v>0</v>
      </c>
      <c r="J18" s="764">
        <v>0</v>
      </c>
      <c r="K18" s="455">
        <f>výdavky!I413</f>
        <v>0</v>
      </c>
      <c r="L18" s="764">
        <f>výdavky!J413</f>
        <v>200</v>
      </c>
      <c r="M18" s="764">
        <f>výdavky!K413</f>
        <v>200</v>
      </c>
      <c r="N18" s="922">
        <f>výdavky!L413</f>
        <v>300</v>
      </c>
    </row>
    <row r="19" spans="1:14" x14ac:dyDescent="0.2">
      <c r="A19" s="1927">
        <f t="shared" si="0"/>
        <v>13</v>
      </c>
      <c r="B19" s="1967"/>
      <c r="C19" s="265" t="s">
        <v>371</v>
      </c>
      <c r="D19" s="774" t="s">
        <v>237</v>
      </c>
      <c r="E19" s="807" t="s">
        <v>389</v>
      </c>
      <c r="F19" s="806"/>
      <c r="G19" s="787"/>
      <c r="H19" s="1022">
        <f>výdavky!E414</f>
        <v>0</v>
      </c>
      <c r="I19" s="455">
        <f>výdavky!E414</f>
        <v>0</v>
      </c>
      <c r="J19" s="764">
        <v>0</v>
      </c>
      <c r="K19" s="455">
        <v>0</v>
      </c>
      <c r="L19" s="764">
        <f>výdavky!J414</f>
        <v>4000</v>
      </c>
      <c r="M19" s="764">
        <f>výdavky!K414</f>
        <v>5000</v>
      </c>
      <c r="N19" s="922">
        <f>výdavky!L414</f>
        <v>6000</v>
      </c>
    </row>
    <row r="20" spans="1:14" x14ac:dyDescent="0.2">
      <c r="A20" s="1927">
        <v>14</v>
      </c>
      <c r="B20" s="1967"/>
      <c r="C20" s="265"/>
      <c r="D20" s="749" t="s">
        <v>184</v>
      </c>
      <c r="E20" s="753"/>
      <c r="F20" s="812"/>
      <c r="G20" s="810" t="e">
        <f t="shared" ref="G20:N20" si="3">G21</f>
        <v>#REF!</v>
      </c>
      <c r="H20" s="765">
        <f>H21</f>
        <v>188117</v>
      </c>
      <c r="I20" s="771">
        <f t="shared" si="3"/>
        <v>351658</v>
      </c>
      <c r="J20" s="765">
        <f>J21</f>
        <v>0</v>
      </c>
      <c r="K20" s="771">
        <f t="shared" si="3"/>
        <v>1934</v>
      </c>
      <c r="L20" s="765">
        <f t="shared" si="3"/>
        <v>0</v>
      </c>
      <c r="M20" s="765">
        <f t="shared" si="3"/>
        <v>0</v>
      </c>
      <c r="N20" s="923">
        <f t="shared" si="3"/>
        <v>0</v>
      </c>
    </row>
    <row r="21" spans="1:14" s="242" customFormat="1" x14ac:dyDescent="0.2">
      <c r="A21" s="1927">
        <f>A20+1</f>
        <v>15</v>
      </c>
      <c r="B21" s="1967"/>
      <c r="C21" s="327" t="s">
        <v>382</v>
      </c>
      <c r="D21" s="797" t="s">
        <v>383</v>
      </c>
      <c r="E21" s="798"/>
      <c r="F21" s="799"/>
      <c r="G21" s="784" t="e">
        <f>SUM(#REF!)</f>
        <v>#REF!</v>
      </c>
      <c r="H21" s="697">
        <f>H22+H23</f>
        <v>188117</v>
      </c>
      <c r="I21" s="770">
        <f>SUM(I22:I22)+I23</f>
        <v>351658</v>
      </c>
      <c r="J21" s="697">
        <f>J22+J23</f>
        <v>0</v>
      </c>
      <c r="K21" s="770">
        <f>SUM(K22:K22)+K23</f>
        <v>1934</v>
      </c>
      <c r="L21" s="697">
        <f>SUM(L22:L22)</f>
        <v>0</v>
      </c>
      <c r="M21" s="697">
        <f>SUM(M22:M22)+M23</f>
        <v>0</v>
      </c>
      <c r="N21" s="919">
        <f>SUM(N22:N22)+N23</f>
        <v>0</v>
      </c>
    </row>
    <row r="22" spans="1:14" s="242" customFormat="1" x14ac:dyDescent="0.2">
      <c r="A22" s="1927">
        <f>A21+1</f>
        <v>16</v>
      </c>
      <c r="B22" s="1968"/>
      <c r="C22" s="783" t="s">
        <v>292</v>
      </c>
      <c r="D22" s="775" t="s">
        <v>239</v>
      </c>
      <c r="E22" s="824" t="s">
        <v>390</v>
      </c>
      <c r="F22" s="825"/>
      <c r="G22" s="788"/>
      <c r="H22" s="3450">
        <f>výdavky!E735</f>
        <v>181795</v>
      </c>
      <c r="I22" s="3451">
        <f>výdavky!F735</f>
        <v>351658</v>
      </c>
      <c r="J22" s="3450">
        <f>výdavky!G735</f>
        <v>0</v>
      </c>
      <c r="K22" s="436">
        <f>výdavky!I735</f>
        <v>0</v>
      </c>
      <c r="L22" s="766">
        <f>výdavky!J735+L23</f>
        <v>0</v>
      </c>
      <c r="M22" s="766">
        <f>výdavky!K735</f>
        <v>0</v>
      </c>
      <c r="N22" s="924">
        <f>výdavky!L735</f>
        <v>0</v>
      </c>
    </row>
    <row r="23" spans="1:14" s="242" customFormat="1" x14ac:dyDescent="0.2">
      <c r="A23" s="1927">
        <v>17</v>
      </c>
      <c r="B23" s="1927"/>
      <c r="C23" s="783" t="s">
        <v>274</v>
      </c>
      <c r="D23" s="3447" t="s">
        <v>267</v>
      </c>
      <c r="E23" s="824" t="s">
        <v>404</v>
      </c>
      <c r="F23" s="825"/>
      <c r="G23" s="3448"/>
      <c r="H23" s="1045">
        <v>6322</v>
      </c>
      <c r="I23" s="433">
        <v>0</v>
      </c>
      <c r="J23" s="1045">
        <v>0</v>
      </c>
      <c r="K23" s="912">
        <v>1934</v>
      </c>
      <c r="L23" s="1045">
        <v>0</v>
      </c>
      <c r="M23" s="1045">
        <v>0</v>
      </c>
      <c r="N23" s="3449">
        <v>0</v>
      </c>
    </row>
    <row r="24" spans="1:14" x14ac:dyDescent="0.2">
      <c r="A24" s="1927">
        <v>18</v>
      </c>
      <c r="B24" s="834">
        <v>2</v>
      </c>
      <c r="C24" s="800" t="s">
        <v>162</v>
      </c>
      <c r="D24" s="801"/>
      <c r="E24" s="801"/>
      <c r="F24" s="802"/>
      <c r="G24" s="785" t="e">
        <f>#REF!+#REF!+#REF!+#REF!+#REF!+#REF!+#REF!+#REF!</f>
        <v>#REF!</v>
      </c>
      <c r="H24" s="916">
        <f t="shared" ref="H24:N24" si="4">H25+H40</f>
        <v>809138.24000000011</v>
      </c>
      <c r="I24" s="3446">
        <f t="shared" si="4"/>
        <v>968401.95</v>
      </c>
      <c r="J24" s="1924">
        <f t="shared" si="4"/>
        <v>1009210</v>
      </c>
      <c r="K24" s="3441">
        <f t="shared" si="4"/>
        <v>952617</v>
      </c>
      <c r="L24" s="691">
        <f t="shared" si="4"/>
        <v>1002394</v>
      </c>
      <c r="M24" s="1510">
        <f t="shared" si="4"/>
        <v>1043523</v>
      </c>
      <c r="N24" s="925">
        <f t="shared" si="4"/>
        <v>1043523</v>
      </c>
    </row>
    <row r="25" spans="1:14" x14ac:dyDescent="0.2">
      <c r="A25" s="1927">
        <f>A24+1</f>
        <v>19</v>
      </c>
      <c r="B25" s="1969"/>
      <c r="C25" s="826"/>
      <c r="D25" s="185" t="s">
        <v>182</v>
      </c>
      <c r="E25" s="205"/>
      <c r="F25" s="205"/>
      <c r="G25" s="809">
        <f>G38</f>
        <v>0</v>
      </c>
      <c r="H25" s="692">
        <f>H26</f>
        <v>792328.24000000011</v>
      </c>
      <c r="I25" s="325">
        <f>SUM(I26)</f>
        <v>956642.95</v>
      </c>
      <c r="J25" s="692">
        <f>J26</f>
        <v>1009210</v>
      </c>
      <c r="K25" s="325">
        <f>SUM(K26)</f>
        <v>952617</v>
      </c>
      <c r="L25" s="692">
        <f>SUM(L26)</f>
        <v>982394</v>
      </c>
      <c r="M25" s="692">
        <f>SUM(M26)</f>
        <v>1043523</v>
      </c>
      <c r="N25" s="926">
        <f>SUM(N26)</f>
        <v>1043523</v>
      </c>
    </row>
    <row r="26" spans="1:14" x14ac:dyDescent="0.2">
      <c r="A26" s="1927">
        <v>20</v>
      </c>
      <c r="B26" s="1969"/>
      <c r="C26" s="327" t="s">
        <v>391</v>
      </c>
      <c r="D26" s="797" t="s">
        <v>392</v>
      </c>
      <c r="E26" s="798"/>
      <c r="F26" s="799"/>
      <c r="G26" s="784">
        <f>G27</f>
        <v>0</v>
      </c>
      <c r="H26" s="697">
        <f>SUM(H27:H39)</f>
        <v>792328.24000000011</v>
      </c>
      <c r="I26" s="770">
        <f>SUM(I27,I28,I29,I30,I31,I32,I33,I34,I36,I38,I39)+I35</f>
        <v>956642.95</v>
      </c>
      <c r="J26" s="697">
        <f>J27+J28+J31</f>
        <v>1009210</v>
      </c>
      <c r="K26" s="770">
        <f>K27+K28+K31+K29</f>
        <v>952617</v>
      </c>
      <c r="L26" s="697">
        <f>L27+L28+L29+L30+L31</f>
        <v>982394</v>
      </c>
      <c r="M26" s="697">
        <f>SUM(M27:M31)</f>
        <v>1043523</v>
      </c>
      <c r="N26" s="919">
        <f>SUM(N27:N31)</f>
        <v>1043523</v>
      </c>
    </row>
    <row r="27" spans="1:14" x14ac:dyDescent="0.2">
      <c r="A27" s="1927">
        <v>21</v>
      </c>
      <c r="B27" s="1969"/>
      <c r="C27" s="265" t="s">
        <v>384</v>
      </c>
      <c r="D27" s="795">
        <v>1</v>
      </c>
      <c r="E27" s="794" t="s">
        <v>385</v>
      </c>
      <c r="F27" s="796"/>
      <c r="G27" s="457"/>
      <c r="H27" s="1023">
        <f>výdavky!E439+výdavky!E504</f>
        <v>715701.31</v>
      </c>
      <c r="I27" s="772">
        <f>výdavky!F439+výdavky!F504</f>
        <v>869938.8899999999</v>
      </c>
      <c r="J27" s="767">
        <f>výdavky!G439+výdavky!G504</f>
        <v>930726</v>
      </c>
      <c r="K27" s="772">
        <f>výdavky!I439+výdavky!I504</f>
        <v>883105</v>
      </c>
      <c r="L27" s="767">
        <f>výdavky!J439+výdavky!J504</f>
        <v>893802</v>
      </c>
      <c r="M27" s="767">
        <f>výdavky!K439+výdavky!K504</f>
        <v>949567</v>
      </c>
      <c r="N27" s="767">
        <f>výdavky!L439+výdavky!L504</f>
        <v>949567</v>
      </c>
    </row>
    <row r="28" spans="1:14" x14ac:dyDescent="0.2">
      <c r="A28" s="1927">
        <v>22</v>
      </c>
      <c r="B28" s="1969"/>
      <c r="C28" s="265" t="s">
        <v>386</v>
      </c>
      <c r="D28" s="355">
        <v>2</v>
      </c>
      <c r="E28" s="456" t="s">
        <v>363</v>
      </c>
      <c r="F28" s="458"/>
      <c r="G28" s="459"/>
      <c r="H28" s="1023">
        <f>výdavky!E454+výdavky!E515</f>
        <v>76626.930000000008</v>
      </c>
      <c r="I28" s="772">
        <f>výdavky!F454+výdavky!F515+výdavky!F543</f>
        <v>86704.060000000012</v>
      </c>
      <c r="J28" s="767">
        <f>výdavky!G454+výdavky!G515-výdavky!G482-výdavky!G543</f>
        <v>53122</v>
      </c>
      <c r="K28" s="772">
        <f>výdavky!I454+výdavky!I515</f>
        <v>69267</v>
      </c>
      <c r="L28" s="767">
        <f>výdavky!J454-výdavky!J482+výdavky!J515-výdavky!J543</f>
        <v>58374</v>
      </c>
      <c r="M28" s="767">
        <f>výdavky!K515-výdavky!K543+výdavky!K454-výdavky!K482</f>
        <v>64048</v>
      </c>
      <c r="N28" s="767">
        <f>výdavky!L454-výdavky!L482+výdavky!L515-výdavky!L543</f>
        <v>64048</v>
      </c>
    </row>
    <row r="29" spans="1:14" x14ac:dyDescent="0.2">
      <c r="A29" s="1927">
        <v>23</v>
      </c>
      <c r="B29" s="1969"/>
      <c r="C29" s="265" t="s">
        <v>227</v>
      </c>
      <c r="D29" s="355">
        <v>3</v>
      </c>
      <c r="E29" s="351" t="s">
        <v>393</v>
      </c>
      <c r="F29" s="460"/>
      <c r="G29" s="461"/>
      <c r="H29" s="1024">
        <v>0</v>
      </c>
      <c r="I29" s="773">
        <v>0</v>
      </c>
      <c r="J29" s="768">
        <v>0</v>
      </c>
      <c r="K29" s="773">
        <f>výdavky!I557</f>
        <v>245</v>
      </c>
      <c r="L29" s="768">
        <v>0</v>
      </c>
      <c r="M29" s="768">
        <v>0</v>
      </c>
      <c r="N29" s="768">
        <v>0</v>
      </c>
    </row>
    <row r="30" spans="1:14" x14ac:dyDescent="0.2">
      <c r="A30" s="1927">
        <v>24</v>
      </c>
      <c r="B30" s="1969"/>
      <c r="C30" s="265" t="s">
        <v>371</v>
      </c>
      <c r="D30" s="355">
        <v>4</v>
      </c>
      <c r="E30" s="351" t="s">
        <v>394</v>
      </c>
      <c r="F30" s="460"/>
      <c r="G30" s="461"/>
      <c r="H30" s="1024">
        <f>výdavky!E444</f>
        <v>0</v>
      </c>
      <c r="I30" s="773">
        <f>výdavky!F506</f>
        <v>0</v>
      </c>
      <c r="J30" s="768">
        <v>0</v>
      </c>
      <c r="K30" s="773">
        <v>0</v>
      </c>
      <c r="L30" s="768">
        <v>0</v>
      </c>
      <c r="M30" s="768">
        <v>0</v>
      </c>
      <c r="N30" s="768">
        <v>0</v>
      </c>
    </row>
    <row r="31" spans="1:14" x14ac:dyDescent="0.2">
      <c r="A31" s="1927">
        <v>25</v>
      </c>
      <c r="B31" s="1969"/>
      <c r="C31" s="265" t="s">
        <v>371</v>
      </c>
      <c r="D31" s="355">
        <v>5</v>
      </c>
      <c r="E31" s="456" t="s">
        <v>756</v>
      </c>
      <c r="F31" s="458"/>
      <c r="G31" s="459"/>
      <c r="H31" s="1023">
        <f>výdavky!E507</f>
        <v>0</v>
      </c>
      <c r="I31" s="772">
        <f>výdavky!F507</f>
        <v>0</v>
      </c>
      <c r="J31" s="767">
        <f>SUM(J32:J39)</f>
        <v>25362</v>
      </c>
      <c r="K31" s="772">
        <f>SUM(I32:I39)</f>
        <v>0</v>
      </c>
      <c r="L31" s="767">
        <f>SUM(L32:L39)</f>
        <v>30218</v>
      </c>
      <c r="M31" s="767">
        <f>SUM(M32:M39)</f>
        <v>29908</v>
      </c>
      <c r="N31" s="767">
        <f>SUM(N32:N39)</f>
        <v>29908</v>
      </c>
    </row>
    <row r="32" spans="1:14" x14ac:dyDescent="0.2">
      <c r="A32" s="1927">
        <v>26</v>
      </c>
      <c r="B32" s="1969"/>
      <c r="C32" s="265" t="s">
        <v>371</v>
      </c>
      <c r="D32" s="355">
        <v>6</v>
      </c>
      <c r="E32" s="456" t="s">
        <v>395</v>
      </c>
      <c r="F32" s="458"/>
      <c r="G32" s="459"/>
      <c r="H32" s="1023">
        <f>výdavky!E483</f>
        <v>0</v>
      </c>
      <c r="I32" s="772">
        <f>výdavky!F509</f>
        <v>0</v>
      </c>
      <c r="J32" s="1774">
        <f>výdavky!G483+výdavky!G544</f>
        <v>2693</v>
      </c>
      <c r="K32" s="1926">
        <f>výdavky!I483+výdavky!I544</f>
        <v>2471</v>
      </c>
      <c r="L32" s="1774">
        <f>výdavky!J483+výdavky!J544</f>
        <v>2612</v>
      </c>
      <c r="M32" s="1774">
        <f>výdavky!K483+výdavky!K544</f>
        <v>2767</v>
      </c>
      <c r="N32" s="1774">
        <f>výdavky!L483+výdavky!L544</f>
        <v>2767</v>
      </c>
    </row>
    <row r="33" spans="1:14" x14ac:dyDescent="0.2">
      <c r="A33" s="1927">
        <v>27</v>
      </c>
      <c r="B33" s="1969"/>
      <c r="C33" s="265" t="s">
        <v>371</v>
      </c>
      <c r="D33" s="355">
        <v>7</v>
      </c>
      <c r="E33" s="456" t="s">
        <v>396</v>
      </c>
      <c r="F33" s="458"/>
      <c r="G33" s="459"/>
      <c r="H33" s="1023">
        <f>výdavky!E499</f>
        <v>0</v>
      </c>
      <c r="I33" s="772">
        <f>výdavky!F510</f>
        <v>0</v>
      </c>
      <c r="J33" s="1774">
        <f>výdavky!G499+výdavky!G556</f>
        <v>4905</v>
      </c>
      <c r="K33" s="1926">
        <f>výdavky!I499+výdavky!I556</f>
        <v>2900</v>
      </c>
      <c r="L33" s="1774">
        <f>výdavky!J499+výdavky!J556</f>
        <v>3100</v>
      </c>
      <c r="M33" s="1774">
        <f>výdavky!K499+výdavky!K556</f>
        <v>3280</v>
      </c>
      <c r="N33" s="1774">
        <f>výdavky!L499+výdavky!L556</f>
        <v>3280</v>
      </c>
    </row>
    <row r="34" spans="1:14" x14ac:dyDescent="0.2">
      <c r="A34" s="1927">
        <v>28</v>
      </c>
      <c r="B34" s="1969"/>
      <c r="C34" s="265" t="s">
        <v>371</v>
      </c>
      <c r="D34" s="355">
        <v>8</v>
      </c>
      <c r="E34" s="456" t="s">
        <v>397</v>
      </c>
      <c r="F34" s="458"/>
      <c r="G34" s="459"/>
      <c r="H34" s="1023">
        <f>výdavky!E484</f>
        <v>0</v>
      </c>
      <c r="I34" s="772">
        <f>výdavky!F511</f>
        <v>0</v>
      </c>
      <c r="J34" s="1774">
        <f>výdavky!G484+výdavky!G545</f>
        <v>464</v>
      </c>
      <c r="K34" s="1926">
        <f>výdavky!I545+výdavky!I484</f>
        <v>482</v>
      </c>
      <c r="L34" s="1774">
        <f>výdavky!J484+výdavky!J545</f>
        <v>512</v>
      </c>
      <c r="M34" s="1774">
        <f>výdavky!K484+výdavky!K545</f>
        <v>545</v>
      </c>
      <c r="N34" s="1774">
        <f>výdavky!L484+výdavky!L545</f>
        <v>545</v>
      </c>
    </row>
    <row r="35" spans="1:14" x14ac:dyDescent="0.2">
      <c r="A35" s="1927">
        <v>29</v>
      </c>
      <c r="B35" s="1969"/>
      <c r="C35" s="265" t="s">
        <v>371</v>
      </c>
      <c r="D35" s="355">
        <v>9</v>
      </c>
      <c r="E35" s="3453" t="s">
        <v>1011</v>
      </c>
      <c r="F35" s="790"/>
      <c r="G35" s="461"/>
      <c r="H35" s="1024">
        <f>výdavky!E512</f>
        <v>0</v>
      </c>
      <c r="I35" s="3454">
        <f>výdavky!F512</f>
        <v>0</v>
      </c>
      <c r="J35" s="3455">
        <v>0</v>
      </c>
      <c r="K35" s="3456">
        <v>0</v>
      </c>
      <c r="L35" s="3455">
        <f>výdavky!J488+výdavky!J546</f>
        <v>2000</v>
      </c>
      <c r="M35" s="3455">
        <v>0</v>
      </c>
      <c r="N35" s="3455">
        <v>0</v>
      </c>
    </row>
    <row r="36" spans="1:14" x14ac:dyDescent="0.2">
      <c r="A36" s="1927">
        <v>30</v>
      </c>
      <c r="B36" s="1969"/>
      <c r="C36" s="247" t="s">
        <v>371</v>
      </c>
      <c r="D36" s="448" t="s">
        <v>271</v>
      </c>
      <c r="E36" s="805" t="s">
        <v>398</v>
      </c>
      <c r="F36" s="806"/>
      <c r="G36" s="787"/>
      <c r="H36" s="764">
        <f>výdavky!E493</f>
        <v>0</v>
      </c>
      <c r="I36" s="772">
        <v>0</v>
      </c>
      <c r="J36" s="1774">
        <f>výdavky!G493+výdavky!G550</f>
        <v>0</v>
      </c>
      <c r="K36" s="1926">
        <f>výdavky!I493+výdavky!I550</f>
        <v>3380</v>
      </c>
      <c r="L36" s="1774">
        <f>výdavky!J493+výdavky!J550</f>
        <v>8806</v>
      </c>
      <c r="M36" s="1774">
        <f>výdavky!K493+výdavky!K550</f>
        <v>8979</v>
      </c>
      <c r="N36" s="1774">
        <f>výdavky!L493+výdavky!L550</f>
        <v>8979</v>
      </c>
    </row>
    <row r="37" spans="1:14" x14ac:dyDescent="0.2">
      <c r="A37" s="1927">
        <v>31</v>
      </c>
      <c r="B37" s="1969"/>
      <c r="C37" s="247" t="s">
        <v>371</v>
      </c>
      <c r="D37" s="448" t="s">
        <v>362</v>
      </c>
      <c r="E37" s="805" t="s">
        <v>675</v>
      </c>
      <c r="F37" s="806"/>
      <c r="G37" s="787"/>
      <c r="H37" s="764">
        <f>výdavky!E498</f>
        <v>0</v>
      </c>
      <c r="I37" s="772"/>
      <c r="J37" s="1774">
        <f>výdavky!G498+výdavky!G555</f>
        <v>9600</v>
      </c>
      <c r="K37" s="1926">
        <f>výdavky!I555+výdavky!I498</f>
        <v>5973</v>
      </c>
      <c r="L37" s="1774">
        <f>výdavky!J498+výdavky!J555</f>
        <v>6288</v>
      </c>
      <c r="M37" s="1774">
        <f>výdavky!K498+výdavky!K555</f>
        <v>6437</v>
      </c>
      <c r="N37" s="1774">
        <f>výdavky!L498+výdavky!L555</f>
        <v>6437</v>
      </c>
    </row>
    <row r="38" spans="1:14" x14ac:dyDescent="0.2">
      <c r="A38" s="1927">
        <v>32</v>
      </c>
      <c r="B38" s="1969"/>
      <c r="C38" s="247" t="s">
        <v>371</v>
      </c>
      <c r="D38" s="782" t="s">
        <v>368</v>
      </c>
      <c r="E38" s="819" t="s">
        <v>757</v>
      </c>
      <c r="F38" s="811"/>
      <c r="G38" s="787"/>
      <c r="H38" s="764">
        <f>výdavky!E555</f>
        <v>0</v>
      </c>
      <c r="I38" s="772">
        <v>0</v>
      </c>
      <c r="J38" s="1774">
        <f>výdavky!G489+výdavky!G548</f>
        <v>7700</v>
      </c>
      <c r="K38" s="1926">
        <f>výdavky!I489+výdavky!I548</f>
        <v>0</v>
      </c>
      <c r="L38" s="1774">
        <f>výdavky!J489+výdavky!J548</f>
        <v>4500</v>
      </c>
      <c r="M38" s="1774">
        <f>výdavky!K489+výdavky!K548</f>
        <v>5300</v>
      </c>
      <c r="N38" s="1774">
        <f>výdavky!L489+výdavky!L548</f>
        <v>5300</v>
      </c>
    </row>
    <row r="39" spans="1:14" x14ac:dyDescent="0.2">
      <c r="A39" s="1927">
        <v>33</v>
      </c>
      <c r="B39" s="1969"/>
      <c r="C39" s="265" t="s">
        <v>371</v>
      </c>
      <c r="D39" s="774" t="s">
        <v>674</v>
      </c>
      <c r="E39" s="3457" t="s">
        <v>925</v>
      </c>
      <c r="F39" s="806"/>
      <c r="G39" s="462"/>
      <c r="H39" s="1086"/>
      <c r="I39" s="772"/>
      <c r="J39" s="1774"/>
      <c r="K39" s="1926">
        <f>výdavky!I547</f>
        <v>2000</v>
      </c>
      <c r="L39" s="1774">
        <f>výdavky!J547</f>
        <v>2400</v>
      </c>
      <c r="M39" s="1774">
        <f>výdavky!K547</f>
        <v>2600</v>
      </c>
      <c r="N39" s="1774">
        <f>výdavky!L547</f>
        <v>2600</v>
      </c>
    </row>
    <row r="40" spans="1:14" x14ac:dyDescent="0.2">
      <c r="A40" s="1927">
        <v>34</v>
      </c>
      <c r="B40" s="1967"/>
      <c r="C40" s="265"/>
      <c r="D40" s="749" t="s">
        <v>184</v>
      </c>
      <c r="E40" s="753"/>
      <c r="F40" s="812"/>
      <c r="G40" s="810">
        <f t="shared" ref="G40:N41" si="5">G41</f>
        <v>0</v>
      </c>
      <c r="H40" s="1025">
        <f>H41</f>
        <v>16810</v>
      </c>
      <c r="I40" s="771">
        <f t="shared" si="5"/>
        <v>11759</v>
      </c>
      <c r="J40" s="765">
        <f>J41</f>
        <v>0</v>
      </c>
      <c r="K40" s="771">
        <f t="shared" si="5"/>
        <v>0</v>
      </c>
      <c r="L40" s="765">
        <f t="shared" si="5"/>
        <v>20000</v>
      </c>
      <c r="M40" s="765">
        <f t="shared" si="5"/>
        <v>0</v>
      </c>
      <c r="N40" s="923">
        <f t="shared" si="5"/>
        <v>0</v>
      </c>
    </row>
    <row r="41" spans="1:14" x14ac:dyDescent="0.2">
      <c r="A41" s="1927">
        <f t="shared" ref="A41:A53" si="6">A40+1</f>
        <v>35</v>
      </c>
      <c r="B41" s="1967"/>
      <c r="C41" s="327" t="s">
        <v>391</v>
      </c>
      <c r="D41" s="797" t="s">
        <v>392</v>
      </c>
      <c r="E41" s="798"/>
      <c r="F41" s="799"/>
      <c r="G41" s="784">
        <f t="shared" si="5"/>
        <v>0</v>
      </c>
      <c r="H41" s="1026">
        <f>H42+H43</f>
        <v>16810</v>
      </c>
      <c r="I41" s="770">
        <f t="shared" si="5"/>
        <v>11759</v>
      </c>
      <c r="J41" s="697">
        <f>J42+J43</f>
        <v>0</v>
      </c>
      <c r="K41" s="770">
        <f t="shared" si="5"/>
        <v>0</v>
      </c>
      <c r="L41" s="697">
        <f>L42+L43</f>
        <v>20000</v>
      </c>
      <c r="M41" s="697">
        <f t="shared" si="5"/>
        <v>0</v>
      </c>
      <c r="N41" s="919">
        <f t="shared" si="5"/>
        <v>0</v>
      </c>
    </row>
    <row r="42" spans="1:14" x14ac:dyDescent="0.2">
      <c r="A42" s="1927">
        <f t="shared" si="6"/>
        <v>36</v>
      </c>
      <c r="B42" s="1968"/>
      <c r="C42" s="247" t="s">
        <v>292</v>
      </c>
      <c r="D42" s="736" t="s">
        <v>802</v>
      </c>
      <c r="E42" s="803" t="s">
        <v>709</v>
      </c>
      <c r="F42" s="804"/>
      <c r="G42" s="786"/>
      <c r="H42" s="694">
        <f>výdavky!E744</f>
        <v>16810</v>
      </c>
      <c r="I42" s="350">
        <f>výdavky!F744</f>
        <v>11759</v>
      </c>
      <c r="J42" s="694">
        <f>výdavky!G744</f>
        <v>0</v>
      </c>
      <c r="K42" s="350">
        <f>výdavky!I744</f>
        <v>0</v>
      </c>
      <c r="L42" s="1043">
        <f>výdavky!J746</f>
        <v>0</v>
      </c>
      <c r="M42" s="694">
        <f>výdavky!K744</f>
        <v>0</v>
      </c>
      <c r="N42" s="927">
        <f>výdavky!L744</f>
        <v>0</v>
      </c>
    </row>
    <row r="43" spans="1:14" x14ac:dyDescent="0.2">
      <c r="A43" s="1927">
        <f t="shared" si="6"/>
        <v>37</v>
      </c>
      <c r="B43" s="1968"/>
      <c r="C43" s="267" t="s">
        <v>292</v>
      </c>
      <c r="D43" s="782" t="s">
        <v>803</v>
      </c>
      <c r="E43" s="820" t="s">
        <v>1010</v>
      </c>
      <c r="F43" s="821"/>
      <c r="G43" s="226"/>
      <c r="H43" s="695"/>
      <c r="I43" s="331">
        <v>0</v>
      </c>
      <c r="J43" s="695">
        <v>0</v>
      </c>
      <c r="K43" s="331">
        <v>0</v>
      </c>
      <c r="L43" s="694">
        <f>výdavky!J745</f>
        <v>20000</v>
      </c>
      <c r="M43" s="695">
        <v>0</v>
      </c>
      <c r="N43" s="920">
        <v>0</v>
      </c>
    </row>
    <row r="44" spans="1:14" x14ac:dyDescent="0.2">
      <c r="A44" s="1927">
        <f t="shared" si="6"/>
        <v>38</v>
      </c>
      <c r="B44" s="834">
        <v>3</v>
      </c>
      <c r="C44" s="800" t="s">
        <v>399</v>
      </c>
      <c r="D44" s="801"/>
      <c r="E44" s="801"/>
      <c r="F44" s="802"/>
      <c r="G44" s="785" t="e">
        <f>#REF!+#REF!</f>
        <v>#REF!</v>
      </c>
      <c r="H44" s="818">
        <f>H45</f>
        <v>110482</v>
      </c>
      <c r="I44" s="817">
        <f t="shared" ref="I44:N45" si="7">I45</f>
        <v>96181</v>
      </c>
      <c r="J44" s="818">
        <f>J45</f>
        <v>119075</v>
      </c>
      <c r="K44" s="817">
        <f t="shared" si="7"/>
        <v>89417</v>
      </c>
      <c r="L44" s="818">
        <f t="shared" si="7"/>
        <v>94417</v>
      </c>
      <c r="M44" s="818">
        <f t="shared" si="7"/>
        <v>125525</v>
      </c>
      <c r="N44" s="928">
        <f t="shared" si="7"/>
        <v>125525</v>
      </c>
    </row>
    <row r="45" spans="1:14" x14ac:dyDescent="0.2">
      <c r="A45" s="1927">
        <f t="shared" si="6"/>
        <v>39</v>
      </c>
      <c r="B45" s="1966"/>
      <c r="C45" s="204"/>
      <c r="D45" s="185" t="s">
        <v>182</v>
      </c>
      <c r="E45" s="205"/>
      <c r="F45" s="205"/>
      <c r="G45" s="809">
        <f>G46</f>
        <v>2660.2000000000003</v>
      </c>
      <c r="H45" s="692">
        <f>H46</f>
        <v>110482</v>
      </c>
      <c r="I45" s="325">
        <f t="shared" si="7"/>
        <v>96181</v>
      </c>
      <c r="J45" s="692">
        <f>J46</f>
        <v>119075</v>
      </c>
      <c r="K45" s="325">
        <f t="shared" si="7"/>
        <v>89417</v>
      </c>
      <c r="L45" s="692">
        <f t="shared" si="7"/>
        <v>94417</v>
      </c>
      <c r="M45" s="692">
        <f t="shared" si="7"/>
        <v>125525</v>
      </c>
      <c r="N45" s="926">
        <f t="shared" si="7"/>
        <v>125525</v>
      </c>
    </row>
    <row r="46" spans="1:14" x14ac:dyDescent="0.2">
      <c r="A46" s="1927">
        <f t="shared" si="6"/>
        <v>40</v>
      </c>
      <c r="B46" s="1967"/>
      <c r="C46" s="327" t="s">
        <v>400</v>
      </c>
      <c r="D46" s="797" t="s">
        <v>401</v>
      </c>
      <c r="E46" s="798"/>
      <c r="F46" s="799"/>
      <c r="G46" s="784">
        <f>SUM(G47:G55)</f>
        <v>2660.2000000000003</v>
      </c>
      <c r="H46" s="697">
        <f>SUM(H47:H56)</f>
        <v>110482</v>
      </c>
      <c r="I46" s="770">
        <f>SUM(I47:I55)+I56</f>
        <v>96181</v>
      </c>
      <c r="J46" s="697">
        <f>SUM(J47:J56)</f>
        <v>119075</v>
      </c>
      <c r="K46" s="770">
        <f>SUM(K47:K55)+K56</f>
        <v>89417</v>
      </c>
      <c r="L46" s="697">
        <f>SUM(L47:L55)+L56</f>
        <v>94417</v>
      </c>
      <c r="M46" s="697">
        <f>SUM(M47:M55)+M56</f>
        <v>125525</v>
      </c>
      <c r="N46" s="919">
        <f>SUM(N47:N55)+N56</f>
        <v>125525</v>
      </c>
    </row>
    <row r="47" spans="1:14" x14ac:dyDescent="0.2">
      <c r="A47" s="1927">
        <f t="shared" si="6"/>
        <v>41</v>
      </c>
      <c r="B47" s="1967"/>
      <c r="C47" s="247" t="s">
        <v>191</v>
      </c>
      <c r="D47" s="793" t="s">
        <v>216</v>
      </c>
      <c r="E47" s="780" t="s">
        <v>244</v>
      </c>
      <c r="F47" s="781"/>
      <c r="G47" s="226">
        <f>ROUND(M47/30.126,1)</f>
        <v>1775.9</v>
      </c>
      <c r="H47" s="695">
        <f>výdavky!E562+výdavky!E563</f>
        <v>40751</v>
      </c>
      <c r="I47" s="331">
        <f>výdavky!F562+výdavky!F563</f>
        <v>44783</v>
      </c>
      <c r="J47" s="695">
        <f>výdavky!G562+výdavky!G563</f>
        <v>52000</v>
      </c>
      <c r="K47" s="331">
        <f>výdavky!I562</f>
        <v>43000</v>
      </c>
      <c r="L47" s="695">
        <f>výdavky!J562</f>
        <v>43000</v>
      </c>
      <c r="M47" s="695">
        <f>výdavky!K562</f>
        <v>53500</v>
      </c>
      <c r="N47" s="920">
        <f>výdavky!L562</f>
        <v>53500</v>
      </c>
    </row>
    <row r="48" spans="1:14" x14ac:dyDescent="0.2">
      <c r="A48" s="1927">
        <f t="shared" si="6"/>
        <v>42</v>
      </c>
      <c r="B48" s="1967"/>
      <c r="C48" s="247" t="s">
        <v>193</v>
      </c>
      <c r="D48" s="448" t="s">
        <v>218</v>
      </c>
      <c r="E48" s="780" t="s">
        <v>402</v>
      </c>
      <c r="F48" s="781"/>
      <c r="G48" s="226">
        <f>ROUND(M48/30.126,1)</f>
        <v>817.9</v>
      </c>
      <c r="H48" s="695">
        <f>výdavky!E564</f>
        <v>14935</v>
      </c>
      <c r="I48" s="331">
        <f>výdavky!F564</f>
        <v>16192</v>
      </c>
      <c r="J48" s="695">
        <f>výdavky!G564</f>
        <v>18890</v>
      </c>
      <c r="K48" s="331">
        <f>výdavky!I564</f>
        <v>15000</v>
      </c>
      <c r="L48" s="695">
        <f>výdavky!J564</f>
        <v>15000</v>
      </c>
      <c r="M48" s="695">
        <f>výdavky!K564</f>
        <v>24640</v>
      </c>
      <c r="N48" s="920">
        <f>výdavky!L564</f>
        <v>24640</v>
      </c>
    </row>
    <row r="49" spans="1:14" x14ac:dyDescent="0.2">
      <c r="A49" s="1927">
        <f t="shared" si="6"/>
        <v>43</v>
      </c>
      <c r="B49" s="1967"/>
      <c r="C49" s="247" t="s">
        <v>197</v>
      </c>
      <c r="D49" s="448" t="s">
        <v>229</v>
      </c>
      <c r="E49" s="780" t="s">
        <v>346</v>
      </c>
      <c r="F49" s="781"/>
      <c r="G49" s="226"/>
      <c r="H49" s="695">
        <f>výdavky!E566</f>
        <v>5611</v>
      </c>
      <c r="I49" s="331">
        <f>výdavky!F566</f>
        <v>5542</v>
      </c>
      <c r="J49" s="695">
        <f>výdavky!G566</f>
        <v>7985</v>
      </c>
      <c r="K49" s="331">
        <f>výdavky!I566</f>
        <v>6000</v>
      </c>
      <c r="L49" s="695">
        <f>výdavky!J566</f>
        <v>6000</v>
      </c>
      <c r="M49" s="695">
        <f>výdavky!K566</f>
        <v>8185</v>
      </c>
      <c r="N49" s="920">
        <f>výdavky!L566</f>
        <v>8185</v>
      </c>
    </row>
    <row r="50" spans="1:14" x14ac:dyDescent="0.2">
      <c r="A50" s="1927">
        <f t="shared" si="6"/>
        <v>44</v>
      </c>
      <c r="B50" s="1967"/>
      <c r="C50" s="247" t="s">
        <v>199</v>
      </c>
      <c r="D50" s="448" t="s">
        <v>231</v>
      </c>
      <c r="E50" s="791" t="s">
        <v>403</v>
      </c>
      <c r="F50" s="792"/>
      <c r="G50" s="226">
        <f>ROUND(M50/30.126,1)</f>
        <v>66.400000000000006</v>
      </c>
      <c r="H50" s="695">
        <f>výdavky!E567+výdavky!E568</f>
        <v>3852</v>
      </c>
      <c r="I50" s="331">
        <f>výdavky!F567+výdavky!F568</f>
        <v>1864</v>
      </c>
      <c r="J50" s="695">
        <f>výdavky!G567</f>
        <v>2000</v>
      </c>
      <c r="K50" s="331">
        <f>výdavky!I567</f>
        <v>2000</v>
      </c>
      <c r="L50" s="695">
        <f>výdavky!J567</f>
        <v>2000</v>
      </c>
      <c r="M50" s="695">
        <f>výdavky!K567</f>
        <v>2000</v>
      </c>
      <c r="N50" s="920">
        <f>výdavky!L567</f>
        <v>2000</v>
      </c>
    </row>
    <row r="51" spans="1:14" x14ac:dyDescent="0.2">
      <c r="A51" s="1927">
        <f t="shared" si="6"/>
        <v>45</v>
      </c>
      <c r="B51" s="1967"/>
      <c r="C51" s="247" t="s">
        <v>199</v>
      </c>
      <c r="D51" s="736" t="s">
        <v>233</v>
      </c>
      <c r="E51" s="780" t="s">
        <v>387</v>
      </c>
      <c r="F51" s="781"/>
      <c r="G51" s="221"/>
      <c r="H51" s="694">
        <f>výdavky!E569</f>
        <v>40188</v>
      </c>
      <c r="I51" s="350">
        <f>výdavky!F569</f>
        <v>25965</v>
      </c>
      <c r="J51" s="694">
        <f>výdavky!G569</f>
        <v>35000</v>
      </c>
      <c r="K51" s="350">
        <f>výdavky!I569</f>
        <v>20000</v>
      </c>
      <c r="L51" s="694">
        <f>výdavky!J569</f>
        <v>25000</v>
      </c>
      <c r="M51" s="694">
        <f>výdavky!K569</f>
        <v>35000</v>
      </c>
      <c r="N51" s="927">
        <f>výdavky!L569</f>
        <v>35000</v>
      </c>
    </row>
    <row r="52" spans="1:14" x14ac:dyDescent="0.2">
      <c r="A52" s="1927">
        <f t="shared" si="6"/>
        <v>46</v>
      </c>
      <c r="B52" s="1967"/>
      <c r="C52" s="247" t="s">
        <v>199</v>
      </c>
      <c r="D52" s="448" t="s">
        <v>237</v>
      </c>
      <c r="E52" s="780" t="s">
        <v>404</v>
      </c>
      <c r="F52" s="781"/>
      <c r="G52" s="226"/>
      <c r="H52" s="695">
        <f>výdavky!E570</f>
        <v>2250</v>
      </c>
      <c r="I52" s="331">
        <f>výdavky!F570</f>
        <v>385</v>
      </c>
      <c r="J52" s="695">
        <f>výdavky!G570</f>
        <v>1000</v>
      </c>
      <c r="K52" s="331">
        <f>výdavky!I570+výdavky!I568</f>
        <v>1117</v>
      </c>
      <c r="L52" s="695">
        <f>výdavky!J570</f>
        <v>1117</v>
      </c>
      <c r="M52" s="695">
        <f>výdavky!K570</f>
        <v>500</v>
      </c>
      <c r="N52" s="920">
        <f>výdavky!L570</f>
        <v>500</v>
      </c>
    </row>
    <row r="53" spans="1:14" x14ac:dyDescent="0.2">
      <c r="A53" s="1927">
        <f t="shared" si="6"/>
        <v>47</v>
      </c>
      <c r="B53" s="1967"/>
      <c r="C53" s="247" t="s">
        <v>203</v>
      </c>
      <c r="D53" s="3443" t="s">
        <v>239</v>
      </c>
      <c r="E53" s="780" t="s">
        <v>279</v>
      </c>
      <c r="F53" s="781"/>
      <c r="G53" s="232"/>
      <c r="H53" s="1043">
        <f>výdavky!E571</f>
        <v>0</v>
      </c>
      <c r="I53" s="3444">
        <f>výdavky!F571</f>
        <v>220</v>
      </c>
      <c r="J53" s="1043">
        <f>výdavky!G571</f>
        <v>500</v>
      </c>
      <c r="K53" s="3444">
        <f>výdavky!I571</f>
        <v>500</v>
      </c>
      <c r="L53" s="1043">
        <f>výdavky!J571</f>
        <v>500</v>
      </c>
      <c r="M53" s="1043">
        <f>výdavky!K571</f>
        <v>500</v>
      </c>
      <c r="N53" s="3445">
        <f>výdavky!L571</f>
        <v>500</v>
      </c>
    </row>
    <row r="54" spans="1:14" s="3417" customFormat="1" x14ac:dyDescent="0.2">
      <c r="A54" s="1927">
        <v>48</v>
      </c>
      <c r="B54" s="1967"/>
      <c r="C54" s="265" t="s">
        <v>205</v>
      </c>
      <c r="D54" s="3419" t="s">
        <v>267</v>
      </c>
      <c r="E54" s="780" t="s">
        <v>778</v>
      </c>
      <c r="F54" s="781"/>
      <c r="G54" s="221"/>
      <c r="H54" s="694">
        <f>výdavky!E572</f>
        <v>1400</v>
      </c>
      <c r="I54" s="350">
        <f>výdavky!F572</f>
        <v>1000</v>
      </c>
      <c r="J54" s="694">
        <f>výdavky!G572</f>
        <v>1000</v>
      </c>
      <c r="K54" s="350">
        <f>výdavky!I572</f>
        <v>1000</v>
      </c>
      <c r="L54" s="694">
        <f>výdavky!J572</f>
        <v>1000</v>
      </c>
      <c r="M54" s="694">
        <f>výdavky!K572</f>
        <v>1000</v>
      </c>
      <c r="N54" s="927">
        <f>výdavky!L572</f>
        <v>1000</v>
      </c>
    </row>
    <row r="55" spans="1:14" x14ac:dyDescent="0.2">
      <c r="A55" s="1927">
        <v>49</v>
      </c>
      <c r="B55" s="1967"/>
      <c r="C55" s="265" t="s">
        <v>207</v>
      </c>
      <c r="D55" s="778" t="s">
        <v>269</v>
      </c>
      <c r="E55" s="780" t="s">
        <v>208</v>
      </c>
      <c r="F55" s="781"/>
      <c r="G55" s="779"/>
      <c r="H55" s="699">
        <f>výdavky!E573</f>
        <v>1209</v>
      </c>
      <c r="I55" s="776">
        <f>výdavky!F573</f>
        <v>199</v>
      </c>
      <c r="J55" s="777">
        <f>výdavky!G573</f>
        <v>700</v>
      </c>
      <c r="K55" s="776">
        <f>výdavky!I573</f>
        <v>800</v>
      </c>
      <c r="L55" s="777">
        <f>výdavky!J573</f>
        <v>800</v>
      </c>
      <c r="M55" s="777">
        <f>výdavky!K573</f>
        <v>200</v>
      </c>
      <c r="N55" s="929">
        <f>výdavky!L573</f>
        <v>200</v>
      </c>
    </row>
    <row r="56" spans="1:14" x14ac:dyDescent="0.2">
      <c r="A56" s="1954">
        <v>50</v>
      </c>
      <c r="B56" s="1970"/>
      <c r="C56" s="1929">
        <v>642</v>
      </c>
      <c r="D56" s="1930">
        <v>10</v>
      </c>
      <c r="E56" s="1931" t="s">
        <v>681</v>
      </c>
      <c r="F56" s="1932"/>
      <c r="G56" s="1933"/>
      <c r="H56" s="1934">
        <f>výdavky!E574</f>
        <v>286</v>
      </c>
      <c r="I56" s="1935">
        <f>výdavky!F574</f>
        <v>31</v>
      </c>
      <c r="J56" s="1783">
        <f>výdavky!G574</f>
        <v>0</v>
      </c>
      <c r="K56" s="1935">
        <f>výdavky!G574</f>
        <v>0</v>
      </c>
      <c r="L56" s="1783">
        <f>výdavky!J574</f>
        <v>0</v>
      </c>
      <c r="M56" s="1783">
        <f>výdavky!K574</f>
        <v>0</v>
      </c>
      <c r="N56" s="3452">
        <f>výdavky!L574</f>
        <v>0</v>
      </c>
    </row>
    <row r="57" spans="1:14" x14ac:dyDescent="0.2">
      <c r="A57" s="1954">
        <v>51</v>
      </c>
      <c r="B57" s="1971">
        <v>4</v>
      </c>
      <c r="C57" s="1939" t="s">
        <v>801</v>
      </c>
      <c r="D57" s="190"/>
      <c r="E57" s="190"/>
      <c r="F57" s="1937"/>
      <c r="G57" s="148"/>
      <c r="H57" s="1938">
        <f t="shared" ref="H57:K58" si="8">H58</f>
        <v>25843</v>
      </c>
      <c r="I57" s="1938">
        <f t="shared" si="8"/>
        <v>0</v>
      </c>
      <c r="J57" s="1938">
        <f t="shared" si="8"/>
        <v>26040</v>
      </c>
      <c r="K57" s="1938">
        <f t="shared" si="8"/>
        <v>0</v>
      </c>
      <c r="L57" s="1977">
        <f t="shared" ref="L57:N58" si="9">L58</f>
        <v>0</v>
      </c>
      <c r="M57" s="1977">
        <f t="shared" si="9"/>
        <v>25300</v>
      </c>
      <c r="N57" s="1978">
        <f t="shared" si="9"/>
        <v>25300</v>
      </c>
    </row>
    <row r="58" spans="1:14" x14ac:dyDescent="0.2">
      <c r="A58" s="1954">
        <v>52</v>
      </c>
      <c r="B58" s="1972"/>
      <c r="C58" s="1936"/>
      <c r="D58" s="1974" t="s">
        <v>182</v>
      </c>
      <c r="E58" s="1975"/>
      <c r="F58" s="1976"/>
      <c r="G58" s="1940"/>
      <c r="H58" s="1940">
        <f t="shared" si="8"/>
        <v>25843</v>
      </c>
      <c r="I58" s="1940">
        <f t="shared" si="8"/>
        <v>0</v>
      </c>
      <c r="J58" s="1940">
        <f t="shared" si="8"/>
        <v>26040</v>
      </c>
      <c r="K58" s="1940">
        <f t="shared" si="8"/>
        <v>0</v>
      </c>
      <c r="L58" s="1979">
        <f t="shared" si="9"/>
        <v>0</v>
      </c>
      <c r="M58" s="1979">
        <f t="shared" si="9"/>
        <v>25300</v>
      </c>
      <c r="N58" s="1980">
        <f t="shared" si="9"/>
        <v>25300</v>
      </c>
    </row>
    <row r="59" spans="1:14" ht="13.5" thickBot="1" x14ac:dyDescent="0.25">
      <c r="A59" s="1928">
        <v>53</v>
      </c>
      <c r="B59" s="1973"/>
      <c r="C59" s="816">
        <v>640</v>
      </c>
      <c r="D59" s="1952">
        <v>1</v>
      </c>
      <c r="E59" s="3736" t="s">
        <v>804</v>
      </c>
      <c r="F59" s="3736"/>
      <c r="G59" s="1952"/>
      <c r="H59" s="3442">
        <f>výdavky!E576</f>
        <v>25843</v>
      </c>
      <c r="I59" s="3442">
        <f>výdavky!F576</f>
        <v>0</v>
      </c>
      <c r="J59" s="3442">
        <f>výdavky!G576</f>
        <v>26040</v>
      </c>
      <c r="K59" s="1952"/>
      <c r="L59" s="1981">
        <f>výdavky!J576</f>
        <v>0</v>
      </c>
      <c r="M59" s="1981">
        <f>výdavky!K576</f>
        <v>25300</v>
      </c>
      <c r="N59" s="1982">
        <f>výdavky!L576</f>
        <v>25300</v>
      </c>
    </row>
    <row r="60" spans="1:14" x14ac:dyDescent="0.2">
      <c r="N60" s="450"/>
    </row>
  </sheetData>
  <mergeCells count="3">
    <mergeCell ref="G3:N3"/>
    <mergeCell ref="D4:F6"/>
    <mergeCell ref="E59:F59"/>
  </mergeCells>
  <phoneticPr fontId="44" type="noConversion"/>
  <pageMargins left="0.25" right="0.25" top="0.75" bottom="0.75" header="0.3" footer="0.3"/>
  <pageSetup paperSize="9" scale="85" firstPageNumber="0" fitToHeight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Normal="100" workbookViewId="0">
      <selection activeCell="D4" sqref="D4:F6"/>
    </sheetView>
  </sheetViews>
  <sheetFormatPr defaultRowHeight="12.75" x14ac:dyDescent="0.2"/>
  <cols>
    <col min="1" max="1" width="3.5703125" style="147" customWidth="1"/>
    <col min="2" max="2" width="4.140625" style="1" customWidth="1"/>
    <col min="3" max="3" width="7.5703125" customWidth="1"/>
    <col min="4" max="4" width="3.42578125" customWidth="1"/>
    <col min="5" max="5" width="31.42578125" customWidth="1"/>
    <col min="6" max="6" width="7.85546875" customWidth="1"/>
    <col min="7" max="7" width="0" hidden="1" customWidth="1"/>
    <col min="10" max="10" width="9.42578125" bestFit="1" customWidth="1"/>
    <col min="12" max="12" width="7.5703125" customWidth="1"/>
    <col min="13" max="13" width="8.42578125" customWidth="1"/>
    <col min="14" max="14" width="7.28515625" customWidth="1"/>
  </cols>
  <sheetData>
    <row r="1" spans="1:14" ht="15.75" x14ac:dyDescent="0.25">
      <c r="B1" s="151" t="s">
        <v>405</v>
      </c>
      <c r="E1" s="463" t="s">
        <v>406</v>
      </c>
      <c r="F1" s="149"/>
      <c r="G1" s="304" t="e">
        <f>G2-G7</f>
        <v>#REF!</v>
      </c>
      <c r="H1" s="304"/>
      <c r="I1" s="304"/>
      <c r="J1" s="304"/>
      <c r="K1" s="304"/>
      <c r="L1" s="305">
        <f>L2-L7</f>
        <v>0</v>
      </c>
      <c r="M1" s="305">
        <f>M2-M7</f>
        <v>0</v>
      </c>
      <c r="N1" s="305">
        <f>N2-N7</f>
        <v>0</v>
      </c>
    </row>
    <row r="2" spans="1:14" ht="15.75" x14ac:dyDescent="0.25">
      <c r="B2" s="151"/>
      <c r="E2" s="149"/>
      <c r="F2" s="149"/>
      <c r="G2" s="304" t="e">
        <f>SUM(G8:G10)</f>
        <v>#REF!</v>
      </c>
      <c r="H2" s="304"/>
      <c r="I2" s="304"/>
      <c r="J2" s="304"/>
      <c r="K2" s="304"/>
      <c r="L2" s="305">
        <f>SUM(L8:L10)</f>
        <v>108510</v>
      </c>
      <c r="M2" s="305">
        <f>SUM(M8:M10)</f>
        <v>105850</v>
      </c>
      <c r="N2" s="305">
        <f>SUM(N8:N10)</f>
        <v>109050</v>
      </c>
    </row>
    <row r="3" spans="1:14" ht="12.75" customHeight="1" x14ac:dyDescent="0.25">
      <c r="A3" s="160"/>
      <c r="B3" s="161"/>
      <c r="C3" s="162"/>
      <c r="D3" s="162"/>
      <c r="E3" s="163"/>
      <c r="F3" s="164"/>
      <c r="G3" s="3713" t="s">
        <v>169</v>
      </c>
      <c r="H3" s="3713"/>
      <c r="I3" s="3713"/>
      <c r="J3" s="3713"/>
      <c r="K3" s="3713"/>
      <c r="L3" s="3713"/>
      <c r="M3" s="3713"/>
      <c r="N3" s="3713"/>
    </row>
    <row r="4" spans="1:14" ht="12" customHeight="1" x14ac:dyDescent="0.2">
      <c r="A4" s="165"/>
      <c r="B4" s="166" t="s">
        <v>170</v>
      </c>
      <c r="C4" s="167" t="s">
        <v>171</v>
      </c>
      <c r="D4" s="3716" t="s">
        <v>172</v>
      </c>
      <c r="E4" s="3716"/>
      <c r="F4" s="3716"/>
      <c r="G4" s="168"/>
      <c r="H4" s="890">
        <v>2019</v>
      </c>
      <c r="I4" s="169">
        <v>2020</v>
      </c>
      <c r="J4" s="169" t="s">
        <v>995</v>
      </c>
      <c r="K4" s="169" t="s">
        <v>992</v>
      </c>
      <c r="L4" s="169">
        <v>2022</v>
      </c>
      <c r="M4" s="169">
        <v>2023</v>
      </c>
      <c r="N4" s="169">
        <v>2024</v>
      </c>
    </row>
    <row r="5" spans="1:14" ht="13.5" customHeight="1" x14ac:dyDescent="0.2">
      <c r="A5" s="165"/>
      <c r="B5" s="166" t="s">
        <v>173</v>
      </c>
      <c r="C5" s="167" t="s">
        <v>174</v>
      </c>
      <c r="D5" s="3716"/>
      <c r="E5" s="3716"/>
      <c r="F5" s="3716"/>
      <c r="G5" s="170" t="s">
        <v>175</v>
      </c>
      <c r="H5" s="910" t="s">
        <v>176</v>
      </c>
      <c r="I5" s="172" t="s">
        <v>177</v>
      </c>
      <c r="J5" s="172" t="s">
        <v>176</v>
      </c>
      <c r="K5" s="172" t="s">
        <v>177</v>
      </c>
      <c r="L5" s="452" t="s">
        <v>176</v>
      </c>
      <c r="M5" s="172" t="s">
        <v>177</v>
      </c>
      <c r="N5" s="172" t="s">
        <v>177</v>
      </c>
    </row>
    <row r="6" spans="1:14" ht="13.5" thickBot="1" x14ac:dyDescent="0.25">
      <c r="A6" s="308"/>
      <c r="B6" s="309" t="s">
        <v>178</v>
      </c>
      <c r="C6" s="310" t="s">
        <v>179</v>
      </c>
      <c r="D6" s="3716"/>
      <c r="E6" s="3716"/>
      <c r="F6" s="3716"/>
      <c r="G6" s="311">
        <v>1</v>
      </c>
      <c r="H6" s="911">
        <v>-3</v>
      </c>
      <c r="I6" s="357">
        <v>-2</v>
      </c>
      <c r="J6" s="357">
        <v>-1</v>
      </c>
      <c r="K6" s="357">
        <v>-1</v>
      </c>
      <c r="L6" s="357">
        <v>0</v>
      </c>
      <c r="M6" s="357">
        <v>1</v>
      </c>
      <c r="N6" s="357">
        <v>2</v>
      </c>
    </row>
    <row r="7" spans="1:14" ht="15" x14ac:dyDescent="0.25">
      <c r="A7" s="183">
        <v>1</v>
      </c>
      <c r="B7" s="464" t="s">
        <v>405</v>
      </c>
      <c r="C7" s="314"/>
      <c r="D7" s="315"/>
      <c r="E7" s="316" t="s">
        <v>407</v>
      </c>
      <c r="F7" s="317"/>
      <c r="G7" s="465" t="e">
        <f>G11+#REF!+#REF!+G17+#REF!+#REF!+#REF!+#REF!+#REF!+#REF!+#REF!+#REF!+G22+#REF!</f>
        <v>#REF!</v>
      </c>
      <c r="H7" s="1015">
        <f>H8+H9+H10</f>
        <v>91818</v>
      </c>
      <c r="I7" s="930">
        <f>SUM(I8:I10)</f>
        <v>95709</v>
      </c>
      <c r="J7" s="466">
        <f>J8+J9+J10</f>
        <v>101950</v>
      </c>
      <c r="K7" s="466">
        <f>SUM(K8:K10)</f>
        <v>107098</v>
      </c>
      <c r="L7" s="466">
        <f>SUM(L8,L9,L10)</f>
        <v>108510</v>
      </c>
      <c r="M7" s="466">
        <f>SUM(M8:M10)</f>
        <v>105850</v>
      </c>
      <c r="N7" s="466">
        <f>SUM(N8:N10)</f>
        <v>109050</v>
      </c>
    </row>
    <row r="8" spans="1:14" x14ac:dyDescent="0.2">
      <c r="A8" s="183">
        <f t="shared" ref="A8:A15" si="0">A7+1</f>
        <v>2</v>
      </c>
      <c r="B8" s="184" t="s">
        <v>181</v>
      </c>
      <c r="C8" s="827" t="s">
        <v>182</v>
      </c>
      <c r="D8" s="828"/>
      <c r="E8" s="829"/>
      <c r="F8" s="830"/>
      <c r="G8" s="831" t="e">
        <f>G12+#REF!+#REF!+#REF!+G18+#REF!+#REF!+#REF!+#REF!+G23+#REF!+#REF!+#REF!</f>
        <v>#REF!</v>
      </c>
      <c r="H8" s="946">
        <f>H12+H18+H23+H31+H36</f>
        <v>91818</v>
      </c>
      <c r="I8" s="913">
        <f>SUM(I12,I18,I23,I36)+I31</f>
        <v>95709</v>
      </c>
      <c r="J8" s="832">
        <f>J12+J18+J23+J31+J36</f>
        <v>101950</v>
      </c>
      <c r="K8" s="832">
        <f>SUM(K12,K18,K23,K36)+K31</f>
        <v>107098</v>
      </c>
      <c r="L8" s="832">
        <f>SUM(L12,L18,L23,L36)+L31</f>
        <v>108510</v>
      </c>
      <c r="M8" s="832">
        <f>SUM(M12,M18,M23,M36)+M31</f>
        <v>105850</v>
      </c>
      <c r="N8" s="832">
        <f>SUM(N12,N18,N23,N36)+N31</f>
        <v>109050</v>
      </c>
    </row>
    <row r="9" spans="1:14" x14ac:dyDescent="0.2">
      <c r="A9" s="183">
        <f t="shared" si="0"/>
        <v>3</v>
      </c>
      <c r="B9" s="184" t="s">
        <v>183</v>
      </c>
      <c r="C9" s="936" t="s">
        <v>184</v>
      </c>
      <c r="D9" s="937"/>
      <c r="E9" s="938"/>
      <c r="F9" s="939"/>
      <c r="G9" s="940" t="e">
        <f>#REF!</f>
        <v>#REF!</v>
      </c>
      <c r="H9" s="953">
        <f>H27</f>
        <v>0</v>
      </c>
      <c r="I9" s="941">
        <f>SUM(I27)</f>
        <v>0</v>
      </c>
      <c r="J9" s="942">
        <f>J27</f>
        <v>0</v>
      </c>
      <c r="K9" s="942">
        <f>SUM(K27)</f>
        <v>0</v>
      </c>
      <c r="L9" s="943">
        <f>SUM(L27)</f>
        <v>0</v>
      </c>
      <c r="M9" s="942">
        <f>SUM(M27)</f>
        <v>0</v>
      </c>
      <c r="N9" s="942">
        <f>SUM(N27)</f>
        <v>0</v>
      </c>
    </row>
    <row r="10" spans="1:14" ht="13.5" thickBot="1" x14ac:dyDescent="0.25">
      <c r="A10" s="183">
        <f t="shared" si="0"/>
        <v>4</v>
      </c>
      <c r="B10" s="187"/>
      <c r="C10" s="855" t="s">
        <v>185</v>
      </c>
      <c r="D10" s="856"/>
      <c r="E10" s="857"/>
      <c r="F10" s="858"/>
      <c r="G10" s="964" t="e">
        <f>#REF!</f>
        <v>#REF!</v>
      </c>
      <c r="H10" s="1016">
        <v>0</v>
      </c>
      <c r="I10" s="980">
        <v>0</v>
      </c>
      <c r="J10" s="981">
        <v>0</v>
      </c>
      <c r="K10" s="981">
        <v>0</v>
      </c>
      <c r="L10" s="965">
        <v>0</v>
      </c>
      <c r="M10" s="981">
        <v>0</v>
      </c>
      <c r="N10" s="981">
        <v>0</v>
      </c>
    </row>
    <row r="11" spans="1:14" ht="13.5" thickTop="1" x14ac:dyDescent="0.2">
      <c r="A11" s="183">
        <f t="shared" si="0"/>
        <v>5</v>
      </c>
      <c r="B11" s="188">
        <v>1</v>
      </c>
      <c r="C11" s="289" t="s">
        <v>408</v>
      </c>
      <c r="D11" s="190"/>
      <c r="E11" s="190"/>
      <c r="F11" s="191"/>
      <c r="G11" s="467">
        <f>SUM(G13)</f>
        <v>481.3</v>
      </c>
      <c r="H11" s="468">
        <f>H12</f>
        <v>12215</v>
      </c>
      <c r="I11" s="193">
        <f t="shared" ref="I11:N12" si="1">I12</f>
        <v>12666</v>
      </c>
      <c r="J11" s="193">
        <f>J12</f>
        <v>14000</v>
      </c>
      <c r="K11" s="193">
        <f t="shared" si="1"/>
        <v>11560</v>
      </c>
      <c r="L11" s="468">
        <f t="shared" si="1"/>
        <v>11560</v>
      </c>
      <c r="M11" s="193">
        <f t="shared" si="1"/>
        <v>14500</v>
      </c>
      <c r="N11" s="193">
        <f t="shared" si="1"/>
        <v>14500</v>
      </c>
    </row>
    <row r="12" spans="1:14" x14ac:dyDescent="0.2">
      <c r="A12" s="183">
        <f t="shared" si="0"/>
        <v>6</v>
      </c>
      <c r="B12" s="203"/>
      <c r="C12" s="204"/>
      <c r="D12" s="186" t="s">
        <v>182</v>
      </c>
      <c r="E12" s="205"/>
      <c r="F12" s="206"/>
      <c r="G12" s="469">
        <f>G13</f>
        <v>481.3</v>
      </c>
      <c r="H12" s="470">
        <f>H13</f>
        <v>12215</v>
      </c>
      <c r="I12" s="208">
        <f t="shared" si="1"/>
        <v>12666</v>
      </c>
      <c r="J12" s="208">
        <f>J13</f>
        <v>14000</v>
      </c>
      <c r="K12" s="208">
        <f t="shared" si="1"/>
        <v>11560</v>
      </c>
      <c r="L12" s="470">
        <f t="shared" si="1"/>
        <v>11560</v>
      </c>
      <c r="M12" s="208">
        <f t="shared" si="1"/>
        <v>14500</v>
      </c>
      <c r="N12" s="208">
        <f t="shared" si="1"/>
        <v>14500</v>
      </c>
    </row>
    <row r="13" spans="1:14" x14ac:dyDescent="0.2">
      <c r="A13" s="183">
        <f t="shared" si="0"/>
        <v>7</v>
      </c>
      <c r="B13" s="236"/>
      <c r="C13" s="287" t="s">
        <v>409</v>
      </c>
      <c r="D13" s="211" t="s">
        <v>410</v>
      </c>
      <c r="E13" s="212"/>
      <c r="F13" s="213"/>
      <c r="G13" s="471">
        <f>SUM(G14:G15)</f>
        <v>481.3</v>
      </c>
      <c r="H13" s="330">
        <f>SUM(H14:H16)</f>
        <v>12215</v>
      </c>
      <c r="I13" s="215">
        <f>SUM(I14,I15,I16)</f>
        <v>12666</v>
      </c>
      <c r="J13" s="215">
        <f>J14+J15+J16</f>
        <v>14000</v>
      </c>
      <c r="K13" s="215">
        <f>SUM(K14,K15,K16)</f>
        <v>11560</v>
      </c>
      <c r="L13" s="330">
        <f>SUM(L14,L15,L16)</f>
        <v>11560</v>
      </c>
      <c r="M13" s="215">
        <f>SUM(M14,M15,M16)</f>
        <v>14500</v>
      </c>
      <c r="N13" s="215">
        <f>SUM(N14,N15,N16)</f>
        <v>14500</v>
      </c>
    </row>
    <row r="14" spans="1:14" x14ac:dyDescent="0.2">
      <c r="A14" s="183">
        <f t="shared" si="0"/>
        <v>8</v>
      </c>
      <c r="B14" s="236"/>
      <c r="C14" s="267" t="s">
        <v>227</v>
      </c>
      <c r="D14" s="266" t="s">
        <v>216</v>
      </c>
      <c r="E14" s="228" t="s">
        <v>411</v>
      </c>
      <c r="F14" s="234"/>
      <c r="G14" s="235">
        <f>ROUND(M14/30.126,1)</f>
        <v>83</v>
      </c>
      <c r="H14" s="475">
        <f>výdavky!E587</f>
        <v>1075</v>
      </c>
      <c r="I14" s="227">
        <f>výdavky!F587</f>
        <v>1186</v>
      </c>
      <c r="J14" s="227">
        <f>výdavky!G587</f>
        <v>2000</v>
      </c>
      <c r="K14" s="227">
        <f>výdavky!I587</f>
        <v>500</v>
      </c>
      <c r="L14" s="331">
        <f>výdavky!J587</f>
        <v>500</v>
      </c>
      <c r="M14" s="227">
        <f>výdavky!K587</f>
        <v>2500</v>
      </c>
      <c r="N14" s="227">
        <f>výdavky!L587</f>
        <v>2500</v>
      </c>
    </row>
    <row r="15" spans="1:14" x14ac:dyDescent="0.2">
      <c r="A15" s="183">
        <f t="shared" si="0"/>
        <v>9</v>
      </c>
      <c r="B15" s="236"/>
      <c r="C15" s="267" t="s">
        <v>227</v>
      </c>
      <c r="D15" s="266" t="s">
        <v>218</v>
      </c>
      <c r="E15" s="228" t="s">
        <v>412</v>
      </c>
      <c r="F15" s="234"/>
      <c r="G15" s="235">
        <f>ROUND(M15/30.126,1)</f>
        <v>398.3</v>
      </c>
      <c r="H15" s="475">
        <f>výdavky!E588</f>
        <v>11140</v>
      </c>
      <c r="I15" s="227">
        <f>výdavky!F588</f>
        <v>11480</v>
      </c>
      <c r="J15" s="227">
        <f>výdavky!G588</f>
        <v>12000</v>
      </c>
      <c r="K15" s="227">
        <f>výdavky!I588</f>
        <v>11060</v>
      </c>
      <c r="L15" s="331">
        <f>výdavky!J588</f>
        <v>11060</v>
      </c>
      <c r="M15" s="227">
        <f>výdavky!K588</f>
        <v>12000</v>
      </c>
      <c r="N15" s="227">
        <f>výdavky!L588</f>
        <v>12000</v>
      </c>
    </row>
    <row r="16" spans="1:14" x14ac:dyDescent="0.2">
      <c r="A16" s="183">
        <v>10</v>
      </c>
      <c r="B16" s="236"/>
      <c r="C16" s="265" t="s">
        <v>371</v>
      </c>
      <c r="D16" s="266" t="s">
        <v>229</v>
      </c>
      <c r="E16" s="351" t="s">
        <v>413</v>
      </c>
      <c r="F16" s="234"/>
      <c r="G16" s="235"/>
      <c r="H16" s="475">
        <f>výdavky!E589</f>
        <v>0</v>
      </c>
      <c r="I16" s="227">
        <f>výdavky!F589</f>
        <v>0</v>
      </c>
      <c r="J16" s="227">
        <f>výdavky!G589</f>
        <v>0</v>
      </c>
      <c r="K16" s="227">
        <f>výdavky!I589</f>
        <v>0</v>
      </c>
      <c r="L16" s="331">
        <f>výdavky!J589</f>
        <v>0</v>
      </c>
      <c r="M16" s="227">
        <f>výdavky!K589</f>
        <v>0</v>
      </c>
      <c r="N16" s="227">
        <f>výdavky!L589</f>
        <v>0</v>
      </c>
    </row>
    <row r="17" spans="1:14" x14ac:dyDescent="0.2">
      <c r="A17" s="183">
        <v>11</v>
      </c>
      <c r="B17" s="188">
        <v>2</v>
      </c>
      <c r="C17" s="289" t="s">
        <v>414</v>
      </c>
      <c r="D17" s="190"/>
      <c r="E17" s="190"/>
      <c r="F17" s="191"/>
      <c r="G17" s="192" t="e">
        <f>#REF!</f>
        <v>#REF!</v>
      </c>
      <c r="H17" s="468">
        <f>H18</f>
        <v>1540</v>
      </c>
      <c r="I17" s="472">
        <f>SUM(I18)</f>
        <v>3711</v>
      </c>
      <c r="J17" s="472">
        <f>J18</f>
        <v>1600</v>
      </c>
      <c r="K17" s="472">
        <f>SUM(K18)</f>
        <v>1600</v>
      </c>
      <c r="L17" s="473">
        <f>SUM(L18)</f>
        <v>1600</v>
      </c>
      <c r="M17" s="472">
        <f>SUM(M18)</f>
        <v>1600</v>
      </c>
      <c r="N17" s="472">
        <f>SUM(N18)</f>
        <v>1600</v>
      </c>
    </row>
    <row r="18" spans="1:14" x14ac:dyDescent="0.2">
      <c r="A18" s="183">
        <v>12</v>
      </c>
      <c r="B18" s="203"/>
      <c r="C18" s="204"/>
      <c r="D18" s="186" t="s">
        <v>182</v>
      </c>
      <c r="E18" s="205"/>
      <c r="F18" s="206"/>
      <c r="G18" s="469">
        <f t="shared" ref="G18:N18" si="2">G19</f>
        <v>33.200000000000003</v>
      </c>
      <c r="H18" s="470">
        <f>H19</f>
        <v>1540</v>
      </c>
      <c r="I18" s="208">
        <f t="shared" si="2"/>
        <v>3711</v>
      </c>
      <c r="J18" s="208">
        <f>J19</f>
        <v>1600</v>
      </c>
      <c r="K18" s="208">
        <f t="shared" si="2"/>
        <v>1600</v>
      </c>
      <c r="L18" s="470">
        <f t="shared" si="2"/>
        <v>1600</v>
      </c>
      <c r="M18" s="208">
        <f t="shared" si="2"/>
        <v>1600</v>
      </c>
      <c r="N18" s="208">
        <f t="shared" si="2"/>
        <v>1600</v>
      </c>
    </row>
    <row r="19" spans="1:14" x14ac:dyDescent="0.2">
      <c r="A19" s="183">
        <f t="shared" ref="A19:A26" si="3">A18+1</f>
        <v>13</v>
      </c>
      <c r="B19" s="236"/>
      <c r="C19" s="287" t="s">
        <v>415</v>
      </c>
      <c r="D19" s="211" t="s">
        <v>416</v>
      </c>
      <c r="E19" s="212"/>
      <c r="F19" s="213"/>
      <c r="G19" s="471">
        <f>SUM(G20)</f>
        <v>33.200000000000003</v>
      </c>
      <c r="H19" s="330">
        <f>H20+H21</f>
        <v>1540</v>
      </c>
      <c r="I19" s="215">
        <f>SUM(I20:I21)</f>
        <v>3711</v>
      </c>
      <c r="J19" s="215">
        <f>J20+J21</f>
        <v>1600</v>
      </c>
      <c r="K19" s="215">
        <f>SUM(K20:K21)</f>
        <v>1600</v>
      </c>
      <c r="L19" s="330">
        <f>SUM(L20:L21)</f>
        <v>1600</v>
      </c>
      <c r="M19" s="215">
        <f>SUM(M20:M21)</f>
        <v>1600</v>
      </c>
      <c r="N19" s="215">
        <f>SUM(N20:N21)</f>
        <v>1600</v>
      </c>
    </row>
    <row r="20" spans="1:14" x14ac:dyDescent="0.2">
      <c r="A20" s="183">
        <f t="shared" si="3"/>
        <v>14</v>
      </c>
      <c r="B20" s="236"/>
      <c r="C20" s="267" t="s">
        <v>371</v>
      </c>
      <c r="D20" s="266" t="s">
        <v>216</v>
      </c>
      <c r="E20" s="228" t="s">
        <v>417</v>
      </c>
      <c r="F20" s="234"/>
      <c r="G20" s="235">
        <f>ROUND(M20/30.126,1)</f>
        <v>33.200000000000003</v>
      </c>
      <c r="H20" s="475">
        <f>výdavky!E592+výdavky!E591</f>
        <v>1540</v>
      </c>
      <c r="I20" s="227">
        <f>výdavky!F592+výdavky!F591</f>
        <v>1600</v>
      </c>
      <c r="J20" s="227">
        <f>výdavky!G592+výdavky!G591</f>
        <v>1000</v>
      </c>
      <c r="K20" s="227">
        <f>výdavky!I592+výdavky!I591</f>
        <v>1000</v>
      </c>
      <c r="L20" s="331">
        <f>výdavky!J592+výdavky!J591</f>
        <v>1000</v>
      </c>
      <c r="M20" s="227">
        <f>výdavky!K592+výdavky!K591</f>
        <v>1000</v>
      </c>
      <c r="N20" s="227">
        <f>výdavky!L592+výdavky!L591</f>
        <v>1000</v>
      </c>
    </row>
    <row r="21" spans="1:14" x14ac:dyDescent="0.2">
      <c r="A21" s="183">
        <f t="shared" si="3"/>
        <v>15</v>
      </c>
      <c r="B21" s="236"/>
      <c r="C21" s="265" t="s">
        <v>371</v>
      </c>
      <c r="D21" s="266" t="s">
        <v>218</v>
      </c>
      <c r="E21" s="228" t="s">
        <v>418</v>
      </c>
      <c r="F21" s="234"/>
      <c r="G21" s="235"/>
      <c r="H21" s="475">
        <f>výdavky!E590</f>
        <v>0</v>
      </c>
      <c r="I21" s="227">
        <f>výdavky!F590</f>
        <v>2111</v>
      </c>
      <c r="J21" s="227">
        <f>výdavky!G590</f>
        <v>600</v>
      </c>
      <c r="K21" s="227">
        <f>výdavky!G590</f>
        <v>600</v>
      </c>
      <c r="L21" s="331">
        <f>výdavky!J590</f>
        <v>600</v>
      </c>
      <c r="M21" s="227">
        <f>výdavky!K590</f>
        <v>600</v>
      </c>
      <c r="N21" s="227">
        <f>výdavky!L590</f>
        <v>600</v>
      </c>
    </row>
    <row r="22" spans="1:14" x14ac:dyDescent="0.2">
      <c r="A22" s="183">
        <f t="shared" si="3"/>
        <v>16</v>
      </c>
      <c r="B22" s="188">
        <v>3</v>
      </c>
      <c r="C22" s="289" t="s">
        <v>419</v>
      </c>
      <c r="D22" s="190"/>
      <c r="E22" s="190"/>
      <c r="F22" s="191"/>
      <c r="G22" s="192">
        <f>SUM(G24)</f>
        <v>1734.3999999999999</v>
      </c>
      <c r="H22" s="468">
        <f>H23+H27</f>
        <v>45722</v>
      </c>
      <c r="I22" s="194">
        <f>I24</f>
        <v>42087</v>
      </c>
      <c r="J22" s="194">
        <f>J23+J27</f>
        <v>50850</v>
      </c>
      <c r="K22" s="194">
        <f>K24</f>
        <v>54894</v>
      </c>
      <c r="L22" s="468">
        <f>L24</f>
        <v>55850</v>
      </c>
      <c r="M22" s="194">
        <f>M24</f>
        <v>52250</v>
      </c>
      <c r="N22" s="194">
        <f>N24</f>
        <v>53450</v>
      </c>
    </row>
    <row r="23" spans="1:14" x14ac:dyDescent="0.2">
      <c r="A23" s="183">
        <f t="shared" si="3"/>
        <v>17</v>
      </c>
      <c r="B23" s="203"/>
      <c r="C23" s="204"/>
      <c r="D23" s="186" t="s">
        <v>182</v>
      </c>
      <c r="E23" s="205"/>
      <c r="F23" s="206"/>
      <c r="G23" s="207">
        <f t="shared" ref="G23:N23" si="4">G24</f>
        <v>1734.3999999999999</v>
      </c>
      <c r="H23" s="470">
        <f>H24</f>
        <v>45722</v>
      </c>
      <c r="I23" s="208">
        <f t="shared" si="4"/>
        <v>42087</v>
      </c>
      <c r="J23" s="208">
        <f>J24</f>
        <v>50850</v>
      </c>
      <c r="K23" s="208">
        <f t="shared" si="4"/>
        <v>54894</v>
      </c>
      <c r="L23" s="470">
        <f t="shared" si="4"/>
        <v>55850</v>
      </c>
      <c r="M23" s="208">
        <f t="shared" si="4"/>
        <v>52250</v>
      </c>
      <c r="N23" s="208">
        <f t="shared" si="4"/>
        <v>53450</v>
      </c>
    </row>
    <row r="24" spans="1:14" x14ac:dyDescent="0.2">
      <c r="A24" s="183">
        <f t="shared" si="3"/>
        <v>18</v>
      </c>
      <c r="B24" s="203"/>
      <c r="C24" s="287" t="s">
        <v>420</v>
      </c>
      <c r="D24" s="211" t="s">
        <v>419</v>
      </c>
      <c r="E24" s="212"/>
      <c r="F24" s="213"/>
      <c r="G24" s="277">
        <f>SUM(G25:G39)</f>
        <v>1734.3999999999999</v>
      </c>
      <c r="H24" s="474">
        <f>H25+H26</f>
        <v>45722</v>
      </c>
      <c r="I24" s="278">
        <f>SUM(I25,I26)</f>
        <v>42087</v>
      </c>
      <c r="J24" s="278">
        <f>J25+J26</f>
        <v>50850</v>
      </c>
      <c r="K24" s="278">
        <f>SUM(K25,K26)</f>
        <v>54894</v>
      </c>
      <c r="L24" s="474">
        <f>SUM(L25,L26)</f>
        <v>55850</v>
      </c>
      <c r="M24" s="278">
        <f>SUM(M25,M26)</f>
        <v>52250</v>
      </c>
      <c r="N24" s="278">
        <f>SUM(N25,N26)</f>
        <v>53450</v>
      </c>
    </row>
    <row r="25" spans="1:14" x14ac:dyDescent="0.2">
      <c r="A25" s="183">
        <f t="shared" si="3"/>
        <v>19</v>
      </c>
      <c r="B25" s="236"/>
      <c r="C25" s="267" t="s">
        <v>384</v>
      </c>
      <c r="D25" s="266" t="s">
        <v>216</v>
      </c>
      <c r="E25" s="228" t="s">
        <v>385</v>
      </c>
      <c r="F25" s="234"/>
      <c r="G25" s="235">
        <f>ROUND(M25/30.126,1)</f>
        <v>1487.1</v>
      </c>
      <c r="H25" s="475">
        <f>výdavky!E599+výdavky!E600+výdavky!E601</f>
        <v>41194</v>
      </c>
      <c r="I25" s="227">
        <f>výdavky!F599+výdavky!F600+výdavky!F601</f>
        <v>38113</v>
      </c>
      <c r="J25" s="227">
        <f>výdavky!G599+výdavky!G600+výdavky!G601</f>
        <v>43600</v>
      </c>
      <c r="K25" s="227">
        <f>výdavky!I599+výdavky!I600+výdavky!I601</f>
        <v>45144</v>
      </c>
      <c r="L25" s="475">
        <f>výdavky!J599+výdavky!J600+výdavky!J601</f>
        <v>48600</v>
      </c>
      <c r="M25" s="227">
        <f>výdavky!K599+výdavky!K600+výdavky!K601</f>
        <v>44800</v>
      </c>
      <c r="N25" s="227">
        <f>výdavky!L599+výdavky!L600+výdavky!L601</f>
        <v>46000</v>
      </c>
    </row>
    <row r="26" spans="1:14" x14ac:dyDescent="0.2">
      <c r="A26" s="183">
        <f t="shared" si="3"/>
        <v>20</v>
      </c>
      <c r="B26" s="236"/>
      <c r="C26" s="267" t="s">
        <v>386</v>
      </c>
      <c r="D26" s="266" t="s">
        <v>218</v>
      </c>
      <c r="E26" s="228" t="s">
        <v>363</v>
      </c>
      <c r="F26" s="234"/>
      <c r="G26" s="235">
        <f>ROUND(M26/30.126,1)</f>
        <v>247.3</v>
      </c>
      <c r="H26" s="475">
        <f>SUM(výdavky!E602:E614)</f>
        <v>4528</v>
      </c>
      <c r="I26" s="227">
        <f>výdavky!F602+výdavky!F603+výdavky!F604+výdavky!F605+výdavky!F606+výdavky!F607+výdavky!F608+výdavky!F609+výdavky!F610+výdavky!F611+výdavky!F612+výdavky!F613+výdavky!F614</f>
        <v>3974</v>
      </c>
      <c r="J26" s="227">
        <f>výdavky!G602+výdavky!G603+výdavky!G604+výdavky!G606+výdavky!G608+výdavky!G610+výdavky!G612+výdavky!G613+výdavky!G614</f>
        <v>7250</v>
      </c>
      <c r="K26" s="227">
        <f>výdavky!I602+výdavky!I603+výdavky!I604+výdavky!I605+výdavky!I606+výdavky!I607+výdavky!I608+výdavky!I609+výdavky!I610+výdavky!I611+výdavky!I612+výdavky!I613+výdavky!I614</f>
        <v>9750</v>
      </c>
      <c r="L26" s="475">
        <f>výdavky!J602+výdavky!J603+výdavky!J604+výdavky!J605+výdavky!J606+výdavky!J607+výdavky!J608+výdavky!J609+výdavky!J610+výdavky!J611+výdavky!J612+výdavky!J613+výdavky!J614</f>
        <v>7250</v>
      </c>
      <c r="M26" s="227">
        <f>výdavky!K602+výdavky!K603+výdavky!K604+výdavky!K605+výdavky!K606+výdavky!K607+výdavky!K608+výdavky!K609+výdavky!K610+výdavky!K611+výdavky!K612+výdavky!K613+výdavky!K614</f>
        <v>7450</v>
      </c>
      <c r="N26" s="227">
        <f>výdavky!L602+výdavky!L603+výdavky!L604+výdavky!L605+výdavky!L606+výdavky!L607+výdavky!L608+výdavky!L609+výdavky!L610+výdavky!L611+výdavky!L612+výdavky!L613+výdavky!L614</f>
        <v>7450</v>
      </c>
    </row>
    <row r="27" spans="1:14" x14ac:dyDescent="0.2">
      <c r="A27" s="183">
        <v>21</v>
      </c>
      <c r="B27" s="236"/>
      <c r="C27" s="265"/>
      <c r="D27" s="3737" t="s">
        <v>184</v>
      </c>
      <c r="E27" s="3737"/>
      <c r="F27" s="753"/>
      <c r="G27" s="754"/>
      <c r="H27" s="756">
        <f>H28</f>
        <v>0</v>
      </c>
      <c r="I27" s="755">
        <f t="shared" ref="I27:N28" si="5">SUM(I28)</f>
        <v>0</v>
      </c>
      <c r="J27" s="755">
        <f>J28</f>
        <v>0</v>
      </c>
      <c r="K27" s="755">
        <f t="shared" si="5"/>
        <v>0</v>
      </c>
      <c r="L27" s="756">
        <f t="shared" si="5"/>
        <v>0</v>
      </c>
      <c r="M27" s="755">
        <f t="shared" si="5"/>
        <v>0</v>
      </c>
      <c r="N27" s="755">
        <f t="shared" si="5"/>
        <v>0</v>
      </c>
    </row>
    <row r="28" spans="1:14" x14ac:dyDescent="0.2">
      <c r="A28" s="183">
        <v>22</v>
      </c>
      <c r="B28" s="236"/>
      <c r="C28" s="287" t="s">
        <v>420</v>
      </c>
      <c r="D28" s="211" t="s">
        <v>419</v>
      </c>
      <c r="E28" s="212"/>
      <c r="F28" s="213"/>
      <c r="G28" s="277">
        <f>SUM(G29:G43)</f>
        <v>0</v>
      </c>
      <c r="H28" s="1017">
        <f>H29</f>
        <v>0</v>
      </c>
      <c r="I28" s="278">
        <f t="shared" si="5"/>
        <v>0</v>
      </c>
      <c r="J28" s="278">
        <f>J29</f>
        <v>0</v>
      </c>
      <c r="K28" s="278">
        <f t="shared" si="5"/>
        <v>0</v>
      </c>
      <c r="L28" s="474">
        <f t="shared" si="5"/>
        <v>0</v>
      </c>
      <c r="M28" s="278">
        <f t="shared" si="5"/>
        <v>0</v>
      </c>
      <c r="N28" s="278">
        <f t="shared" si="5"/>
        <v>0</v>
      </c>
    </row>
    <row r="29" spans="1:14" x14ac:dyDescent="0.2">
      <c r="A29" s="183">
        <v>23</v>
      </c>
      <c r="B29" s="236"/>
      <c r="C29" s="265" t="s">
        <v>292</v>
      </c>
      <c r="D29" s="737" t="s">
        <v>229</v>
      </c>
      <c r="E29" s="230" t="s">
        <v>84</v>
      </c>
      <c r="F29" s="738"/>
      <c r="G29" s="680"/>
      <c r="H29" s="688">
        <f>výdavky!D754</f>
        <v>0</v>
      </c>
      <c r="I29" s="233">
        <f>výdavky!F753</f>
        <v>0</v>
      </c>
      <c r="J29" s="233">
        <f>výdavky!G754</f>
        <v>0</v>
      </c>
      <c r="K29" s="233">
        <f>výdavky!I753</f>
        <v>0</v>
      </c>
      <c r="L29" s="688">
        <f>výdavky!J753</f>
        <v>0</v>
      </c>
      <c r="M29" s="233">
        <f>výdavky!K753</f>
        <v>0</v>
      </c>
      <c r="N29" s="233">
        <f>výdavky!L753</f>
        <v>0</v>
      </c>
    </row>
    <row r="30" spans="1:14" x14ac:dyDescent="0.2">
      <c r="A30" s="183">
        <v>24</v>
      </c>
      <c r="B30" s="1011">
        <v>4</v>
      </c>
      <c r="C30" s="3738" t="s">
        <v>673</v>
      </c>
      <c r="D30" s="3739"/>
      <c r="E30" s="3739"/>
      <c r="F30" s="3740"/>
      <c r="G30" s="1012"/>
      <c r="H30" s="1014">
        <f>H31</f>
        <v>27657</v>
      </c>
      <c r="I30" s="1013">
        <f t="shared" ref="I30:N31" si="6">I31</f>
        <v>31498</v>
      </c>
      <c r="J30" s="1013">
        <f>J31</f>
        <v>31500</v>
      </c>
      <c r="K30" s="1013">
        <f t="shared" si="6"/>
        <v>33044</v>
      </c>
      <c r="L30" s="1014">
        <f t="shared" si="6"/>
        <v>36500</v>
      </c>
      <c r="M30" s="1013">
        <f t="shared" si="6"/>
        <v>33500</v>
      </c>
      <c r="N30" s="1013">
        <f t="shared" si="6"/>
        <v>35500</v>
      </c>
    </row>
    <row r="31" spans="1:14" x14ac:dyDescent="0.2">
      <c r="A31" s="183">
        <v>25</v>
      </c>
      <c r="B31" s="236"/>
      <c r="C31" s="265"/>
      <c r="D31" s="186" t="s">
        <v>182</v>
      </c>
      <c r="E31" s="205"/>
      <c r="F31" s="206"/>
      <c r="G31" s="931"/>
      <c r="H31" s="933">
        <f>H32</f>
        <v>27657</v>
      </c>
      <c r="I31" s="932">
        <f t="shared" si="6"/>
        <v>31498</v>
      </c>
      <c r="J31" s="932">
        <f>J32</f>
        <v>31500</v>
      </c>
      <c r="K31" s="932">
        <f t="shared" si="6"/>
        <v>33044</v>
      </c>
      <c r="L31" s="933">
        <f t="shared" si="6"/>
        <v>36500</v>
      </c>
      <c r="M31" s="932">
        <f t="shared" si="6"/>
        <v>33500</v>
      </c>
      <c r="N31" s="932">
        <f t="shared" si="6"/>
        <v>35500</v>
      </c>
    </row>
    <row r="32" spans="1:14" x14ac:dyDescent="0.2">
      <c r="A32" s="183">
        <v>26</v>
      </c>
      <c r="B32" s="236"/>
      <c r="C32" s="265"/>
      <c r="D32" s="3741" t="s">
        <v>673</v>
      </c>
      <c r="E32" s="3742"/>
      <c r="F32" s="3743"/>
      <c r="G32" s="743"/>
      <c r="H32" s="745">
        <f>H33+H34</f>
        <v>27657</v>
      </c>
      <c r="I32" s="744">
        <f>SUM(I33:I34)</f>
        <v>31498</v>
      </c>
      <c r="J32" s="744">
        <f>J33+J34</f>
        <v>31500</v>
      </c>
      <c r="K32" s="744">
        <f>SUM(K33:K34)</f>
        <v>33044</v>
      </c>
      <c r="L32" s="745">
        <f>SUM(L33:L34)</f>
        <v>36500</v>
      </c>
      <c r="M32" s="744">
        <f>SUM(M33:M34)</f>
        <v>33500</v>
      </c>
      <c r="N32" s="744">
        <f>SUM(N33:N34)</f>
        <v>35500</v>
      </c>
    </row>
    <row r="33" spans="1:14" x14ac:dyDescent="0.2">
      <c r="A33" s="183">
        <v>27</v>
      </c>
      <c r="B33" s="236"/>
      <c r="C33" s="267" t="s">
        <v>384</v>
      </c>
      <c r="D33" s="740" t="s">
        <v>216</v>
      </c>
      <c r="E33" s="741" t="s">
        <v>385</v>
      </c>
      <c r="F33" s="742"/>
      <c r="G33" s="268"/>
      <c r="H33" s="684">
        <f>výdavky!E594+výdavky!E595</f>
        <v>27122</v>
      </c>
      <c r="I33" s="222">
        <f>výdavky!F594+výdavky!F595</f>
        <v>30993</v>
      </c>
      <c r="J33" s="222">
        <f>výdavky!G594+výdavky!G595</f>
        <v>31000</v>
      </c>
      <c r="K33" s="222">
        <f>výdavky!I594+výdavky!I595+výdavky!I596</f>
        <v>32544</v>
      </c>
      <c r="L33" s="686">
        <f>výdavky!J594+výdavky!J595</f>
        <v>36000</v>
      </c>
      <c r="M33" s="222">
        <f>výdavky!K594+výdavky!K595</f>
        <v>33000</v>
      </c>
      <c r="N33" s="222">
        <f>výdavky!L594+výdavky!L595</f>
        <v>35000</v>
      </c>
    </row>
    <row r="34" spans="1:14" x14ac:dyDescent="0.2">
      <c r="A34" s="183">
        <v>28</v>
      </c>
      <c r="B34" s="236"/>
      <c r="C34" s="267" t="s">
        <v>386</v>
      </c>
      <c r="D34" s="266" t="s">
        <v>218</v>
      </c>
      <c r="E34" s="228" t="s">
        <v>363</v>
      </c>
      <c r="F34" s="234"/>
      <c r="G34" s="268"/>
      <c r="H34" s="684">
        <f>výdavky!E597</f>
        <v>535</v>
      </c>
      <c r="I34" s="684">
        <f>výdavky!F597</f>
        <v>505</v>
      </c>
      <c r="J34" s="684">
        <f>výdavky!G597</f>
        <v>500</v>
      </c>
      <c r="K34" s="684">
        <f>výdavky!I597</f>
        <v>500</v>
      </c>
      <c r="L34" s="689">
        <f>výdavky!J597</f>
        <v>500</v>
      </c>
      <c r="M34" s="684">
        <f>výdavky!K597</f>
        <v>500</v>
      </c>
      <c r="N34" s="684">
        <f>výdavky!L597</f>
        <v>500</v>
      </c>
    </row>
    <row r="35" spans="1:14" x14ac:dyDescent="0.2">
      <c r="A35" s="183">
        <v>29</v>
      </c>
      <c r="B35" s="746">
        <v>5</v>
      </c>
      <c r="C35" s="3717" t="s">
        <v>421</v>
      </c>
      <c r="D35" s="3717"/>
      <c r="E35" s="3717"/>
      <c r="F35" s="476"/>
      <c r="G35" s="477"/>
      <c r="H35" s="478">
        <f>H36</f>
        <v>4684</v>
      </c>
      <c r="I35" s="352">
        <f t="shared" ref="I35:N36" si="7">SUM(I36)</f>
        <v>5747</v>
      </c>
      <c r="J35" s="352">
        <f>J36</f>
        <v>4000</v>
      </c>
      <c r="K35" s="352">
        <f t="shared" si="7"/>
        <v>6000</v>
      </c>
      <c r="L35" s="478">
        <f t="shared" si="7"/>
        <v>3000</v>
      </c>
      <c r="M35" s="352">
        <f t="shared" si="7"/>
        <v>4000</v>
      </c>
      <c r="N35" s="352">
        <f t="shared" si="7"/>
        <v>4000</v>
      </c>
    </row>
    <row r="36" spans="1:14" x14ac:dyDescent="0.2">
      <c r="A36" s="183">
        <v>30</v>
      </c>
      <c r="B36" s="236"/>
      <c r="C36" s="265"/>
      <c r="D36" s="186" t="s">
        <v>182</v>
      </c>
      <c r="E36" s="205"/>
      <c r="F36" s="206"/>
      <c r="G36" s="367"/>
      <c r="H36" s="479">
        <f>H37</f>
        <v>4684</v>
      </c>
      <c r="I36" s="445">
        <f t="shared" si="7"/>
        <v>5747</v>
      </c>
      <c r="J36" s="445">
        <f>J37</f>
        <v>4000</v>
      </c>
      <c r="K36" s="445">
        <f t="shared" si="7"/>
        <v>6000</v>
      </c>
      <c r="L36" s="479">
        <f t="shared" si="7"/>
        <v>3000</v>
      </c>
      <c r="M36" s="445">
        <f t="shared" si="7"/>
        <v>4000</v>
      </c>
      <c r="N36" s="445">
        <f t="shared" si="7"/>
        <v>4000</v>
      </c>
    </row>
    <row r="37" spans="1:14" x14ac:dyDescent="0.2">
      <c r="A37" s="183">
        <v>31</v>
      </c>
      <c r="B37" s="236"/>
      <c r="C37" s="287" t="s">
        <v>422</v>
      </c>
      <c r="D37" s="211" t="s">
        <v>423</v>
      </c>
      <c r="E37" s="212"/>
      <c r="F37" s="213"/>
      <c r="G37" s="934"/>
      <c r="H37" s="1018">
        <f>H38+H39+H40</f>
        <v>4684</v>
      </c>
      <c r="I37" s="396">
        <f>SUM(I38,I39,I40)</f>
        <v>5747</v>
      </c>
      <c r="J37" s="396">
        <f>J38+J39+J40</f>
        <v>4000</v>
      </c>
      <c r="K37" s="396">
        <f>SUM(K38,K39,K40)</f>
        <v>6000</v>
      </c>
      <c r="L37" s="935">
        <f>SUM(L38,L39,L40)</f>
        <v>3000</v>
      </c>
      <c r="M37" s="396">
        <f>SUM(M38,M39,M40)</f>
        <v>4000</v>
      </c>
      <c r="N37" s="396">
        <f>SUM(N38,N39,N40)</f>
        <v>4000</v>
      </c>
    </row>
    <row r="38" spans="1:14" x14ac:dyDescent="0.2">
      <c r="A38" s="183">
        <v>32</v>
      </c>
      <c r="B38" s="236"/>
      <c r="C38" s="265" t="s">
        <v>371</v>
      </c>
      <c r="D38" s="266" t="s">
        <v>216</v>
      </c>
      <c r="E38" s="453" t="s">
        <v>424</v>
      </c>
      <c r="F38" s="480"/>
      <c r="G38" s="481"/>
      <c r="H38" s="482">
        <f>výdavky!E618</f>
        <v>0</v>
      </c>
      <c r="I38" s="454">
        <f>výdavky!F618</f>
        <v>0</v>
      </c>
      <c r="J38" s="454">
        <f>výdavky!G618</f>
        <v>0</v>
      </c>
      <c r="K38" s="454">
        <f>výdavky!I618</f>
        <v>0</v>
      </c>
      <c r="L38" s="482">
        <f>výdavky!J618</f>
        <v>0</v>
      </c>
      <c r="M38" s="454">
        <f>výdavky!K618</f>
        <v>0</v>
      </c>
      <c r="N38" s="454">
        <f>výdavky!L618</f>
        <v>0</v>
      </c>
    </row>
    <row r="39" spans="1:14" x14ac:dyDescent="0.2">
      <c r="A39" s="183">
        <v>33</v>
      </c>
      <c r="B39" s="236"/>
      <c r="C39" s="265" t="s">
        <v>371</v>
      </c>
      <c r="D39" s="266" t="s">
        <v>218</v>
      </c>
      <c r="E39" s="453" t="s">
        <v>425</v>
      </c>
      <c r="F39" s="480"/>
      <c r="G39" s="481"/>
      <c r="H39" s="482">
        <f>výdavky!E619+výdavky!E620</f>
        <v>4684</v>
      </c>
      <c r="I39" s="454">
        <f>výdavky!F620+výdavky!F619</f>
        <v>5747</v>
      </c>
      <c r="J39" s="454">
        <f>výdavky!G619+výdavky!G620</f>
        <v>4000</v>
      </c>
      <c r="K39" s="454">
        <f>výdavky!I620+výdavky!I619</f>
        <v>6000</v>
      </c>
      <c r="L39" s="482">
        <f>výdavky!J620+výdavky!J619</f>
        <v>3000</v>
      </c>
      <c r="M39" s="454">
        <f>výdavky!K620+výdavky!K619</f>
        <v>4000</v>
      </c>
      <c r="N39" s="454">
        <f>+výdavky!L619+výdavky!L620</f>
        <v>4000</v>
      </c>
    </row>
    <row r="40" spans="1:14" x14ac:dyDescent="0.2">
      <c r="A40" s="296">
        <v>34</v>
      </c>
      <c r="B40" s="415"/>
      <c r="C40" s="333" t="s">
        <v>371</v>
      </c>
      <c r="D40" s="334" t="s">
        <v>229</v>
      </c>
      <c r="E40" s="386" t="s">
        <v>498</v>
      </c>
      <c r="F40" s="387"/>
      <c r="G40" s="483"/>
      <c r="H40" s="339">
        <f>výdavky!E616</f>
        <v>0</v>
      </c>
      <c r="I40" s="484">
        <f>výdavky!F616</f>
        <v>0</v>
      </c>
      <c r="J40" s="484">
        <f>výdavky!G616</f>
        <v>0</v>
      </c>
      <c r="K40" s="484">
        <f>výdavky!I617</f>
        <v>0</v>
      </c>
      <c r="L40" s="485">
        <f>výdavky!J616</f>
        <v>0</v>
      </c>
      <c r="M40" s="484">
        <f>výdavky!K616</f>
        <v>0</v>
      </c>
      <c r="N40" s="484">
        <f>výdavky!L616</f>
        <v>0</v>
      </c>
    </row>
  </sheetData>
  <mergeCells count="6">
    <mergeCell ref="G3:N3"/>
    <mergeCell ref="D4:F6"/>
    <mergeCell ref="D27:E27"/>
    <mergeCell ref="C35:E35"/>
    <mergeCell ref="C30:F30"/>
    <mergeCell ref="D32:F32"/>
  </mergeCells>
  <phoneticPr fontId="44" type="noConversion"/>
  <pageMargins left="0.25" right="0.25" top="0.75" bottom="0.75" header="0.3" footer="0.3"/>
  <pageSetup paperSize="9" scale="85" firstPageNumber="0" fitToHeight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opLeftCell="A4" workbookViewId="0">
      <selection activeCell="C36" sqref="C36"/>
    </sheetView>
  </sheetViews>
  <sheetFormatPr defaultRowHeight="12.75" x14ac:dyDescent="0.2"/>
  <cols>
    <col min="2" max="2" width="29.140625" customWidth="1"/>
    <col min="3" max="3" width="12.7109375" customWidth="1"/>
    <col min="4" max="9" width="10.7109375" customWidth="1"/>
    <col min="11" max="11" width="11.5703125" customWidth="1"/>
  </cols>
  <sheetData>
    <row r="1" spans="1:13" ht="15.75" x14ac:dyDescent="0.25">
      <c r="A1" s="3755" t="s">
        <v>426</v>
      </c>
      <c r="B1" s="3755"/>
      <c r="C1" s="3755"/>
      <c r="D1" s="3755"/>
      <c r="E1" s="3755"/>
      <c r="F1" s="3755"/>
      <c r="G1" s="3755"/>
      <c r="H1" s="3755"/>
      <c r="I1" s="3755"/>
    </row>
    <row r="2" spans="1:13" s="486" customFormat="1" ht="15.75" x14ac:dyDescent="0.25">
      <c r="A2" s="3755"/>
      <c r="B2" s="3755"/>
      <c r="C2" s="3755"/>
      <c r="D2" s="3755"/>
      <c r="E2" s="3755"/>
      <c r="F2" s="3755"/>
      <c r="G2" s="3755"/>
      <c r="H2" s="3755"/>
      <c r="I2" s="3755"/>
    </row>
    <row r="3" spans="1:13" x14ac:dyDescent="0.2">
      <c r="A3" s="487"/>
      <c r="B3" s="487"/>
      <c r="C3" s="487"/>
      <c r="D3" s="487"/>
      <c r="E3" s="487"/>
      <c r="F3" s="487"/>
      <c r="G3" s="487"/>
      <c r="H3" s="488"/>
      <c r="I3" s="488"/>
    </row>
    <row r="4" spans="1:13" ht="13.5" thickBot="1" x14ac:dyDescent="0.25">
      <c r="A4" s="487"/>
      <c r="B4" s="487"/>
      <c r="C4" s="487"/>
      <c r="D4" s="487"/>
      <c r="E4" s="487"/>
      <c r="F4" s="487"/>
      <c r="G4" s="487"/>
      <c r="H4" s="488"/>
      <c r="I4" s="488"/>
    </row>
    <row r="5" spans="1:13" ht="13.5" thickBot="1" x14ac:dyDescent="0.25">
      <c r="A5" s="489" t="s">
        <v>427</v>
      </c>
      <c r="B5" s="490"/>
      <c r="C5" s="3748" t="s">
        <v>428</v>
      </c>
      <c r="D5" s="3749"/>
      <c r="E5" s="3749"/>
      <c r="F5" s="3749"/>
      <c r="G5" s="3749"/>
      <c r="H5" s="3749"/>
      <c r="I5" s="3750"/>
    </row>
    <row r="6" spans="1:13" ht="13.5" thickBot="1" x14ac:dyDescent="0.25">
      <c r="A6" s="491"/>
      <c r="B6" s="492"/>
      <c r="C6" s="997" t="s">
        <v>1013</v>
      </c>
      <c r="D6" s="996" t="s">
        <v>1014</v>
      </c>
      <c r="E6" s="493">
        <v>2021</v>
      </c>
      <c r="F6" s="493" t="s">
        <v>992</v>
      </c>
      <c r="G6" s="3476">
        <v>2022</v>
      </c>
      <c r="H6" s="3477">
        <v>2023</v>
      </c>
      <c r="I6" s="3478">
        <v>2024</v>
      </c>
    </row>
    <row r="7" spans="1:13" x14ac:dyDescent="0.2">
      <c r="A7" s="491"/>
      <c r="B7" s="492"/>
      <c r="C7" s="1008" t="s">
        <v>176</v>
      </c>
      <c r="D7" s="998" t="s">
        <v>176</v>
      </c>
      <c r="E7" s="494" t="s">
        <v>176</v>
      </c>
      <c r="F7" s="494" t="s">
        <v>176</v>
      </c>
      <c r="G7" s="494" t="s">
        <v>176</v>
      </c>
      <c r="H7" s="494" t="s">
        <v>176</v>
      </c>
      <c r="I7" s="494" t="s">
        <v>176</v>
      </c>
    </row>
    <row r="8" spans="1:13" ht="13.5" thickBot="1" x14ac:dyDescent="0.25">
      <c r="A8" s="495"/>
      <c r="B8" s="496"/>
      <c r="C8" s="1000">
        <v>-3</v>
      </c>
      <c r="D8" s="999">
        <v>-2</v>
      </c>
      <c r="E8" s="497">
        <v>-1</v>
      </c>
      <c r="F8" s="497">
        <v>-1</v>
      </c>
      <c r="G8" s="497">
        <v>0</v>
      </c>
      <c r="H8" s="498">
        <v>1</v>
      </c>
      <c r="I8" s="498">
        <v>2</v>
      </c>
    </row>
    <row r="9" spans="1:13" x14ac:dyDescent="0.2">
      <c r="A9" s="499" t="s">
        <v>429</v>
      </c>
      <c r="B9" s="500"/>
      <c r="C9" s="1004"/>
      <c r="D9" s="1001"/>
      <c r="E9" s="501"/>
      <c r="F9" s="501"/>
      <c r="G9" s="501"/>
      <c r="H9" s="502"/>
      <c r="I9" s="502"/>
    </row>
    <row r="10" spans="1:13" x14ac:dyDescent="0.2">
      <c r="A10" s="503" t="s">
        <v>1</v>
      </c>
      <c r="B10" s="504"/>
      <c r="C10" s="1039">
        <f>príjmy!K281</f>
        <v>1572065.0699999998</v>
      </c>
      <c r="D10" s="365">
        <f>SUM(príjmy!L281)</f>
        <v>1575644</v>
      </c>
      <c r="E10" s="869">
        <f>príjmy!M281</f>
        <v>1436105</v>
      </c>
      <c r="F10" s="869">
        <f>príjmy!O281</f>
        <v>1565881</v>
      </c>
      <c r="G10" s="869">
        <f>príjmy!P281</f>
        <v>1486550</v>
      </c>
      <c r="H10" s="869">
        <f>príjmy!Q281</f>
        <v>1605808</v>
      </c>
      <c r="I10" s="869">
        <f>príjmy!R281</f>
        <v>1675655</v>
      </c>
    </row>
    <row r="11" spans="1:13" x14ac:dyDescent="0.2">
      <c r="A11" s="503" t="s">
        <v>79</v>
      </c>
      <c r="B11" s="504"/>
      <c r="C11" s="1039">
        <f>príjmy!K282</f>
        <v>5822473</v>
      </c>
      <c r="D11" s="365">
        <f>SUM(príjmy!L282)</f>
        <v>2970920</v>
      </c>
      <c r="E11" s="869">
        <f>príjmy!M282</f>
        <v>1812800</v>
      </c>
      <c r="F11" s="869">
        <f>príjmy!O282</f>
        <v>1729284</v>
      </c>
      <c r="G11" s="869">
        <f>príjmy!P282</f>
        <v>64250</v>
      </c>
      <c r="H11" s="869">
        <f>príjmy!Q282</f>
        <v>30000</v>
      </c>
      <c r="I11" s="869">
        <f>príjmy!R282</f>
        <v>20000</v>
      </c>
      <c r="J11" s="150"/>
      <c r="K11" s="451"/>
      <c r="L11" s="150"/>
    </row>
    <row r="12" spans="1:13" x14ac:dyDescent="0.2">
      <c r="A12" s="506" t="s">
        <v>430</v>
      </c>
      <c r="B12" s="507"/>
      <c r="C12" s="1058">
        <f>príjmy!K283</f>
        <v>6315786</v>
      </c>
      <c r="D12" s="364">
        <f>príjmy!L283</f>
        <v>2880952</v>
      </c>
      <c r="E12" s="1160">
        <f>príjmy!M283</f>
        <v>90020</v>
      </c>
      <c r="F12" s="1160">
        <f>príjmy!O283</f>
        <v>260725</v>
      </c>
      <c r="G12" s="1160">
        <f>príjmy!P283</f>
        <v>101860.8</v>
      </c>
      <c r="H12" s="1160">
        <f>príjmy!Q283</f>
        <v>50</v>
      </c>
      <c r="I12" s="1160">
        <f>príjmy!R283</f>
        <v>50</v>
      </c>
      <c r="J12" s="150"/>
      <c r="K12" s="153"/>
      <c r="L12" s="153"/>
      <c r="M12" s="150"/>
    </row>
    <row r="13" spans="1:13" x14ac:dyDescent="0.2">
      <c r="A13" s="1781" t="s">
        <v>759</v>
      </c>
      <c r="B13" s="1782"/>
      <c r="C13" s="1783">
        <f>výdavky!E810</f>
        <v>753504.09</v>
      </c>
      <c r="D13" s="1784">
        <f>príjmy!L284</f>
        <v>930051.71</v>
      </c>
      <c r="E13" s="1785">
        <f>príjmy!M284</f>
        <v>967961</v>
      </c>
      <c r="F13" s="1785">
        <f>príjmy!O284</f>
        <v>966437</v>
      </c>
      <c r="G13" s="1785">
        <f>príjmy!P268</f>
        <v>1022655</v>
      </c>
      <c r="H13" s="1785">
        <f>príjmy!Q268</f>
        <v>1028934</v>
      </c>
      <c r="I13" s="1786">
        <f>príjmy!R268</f>
        <v>1028934</v>
      </c>
      <c r="J13" s="150"/>
      <c r="K13" s="153"/>
      <c r="L13" s="153"/>
      <c r="M13" s="150"/>
    </row>
    <row r="14" spans="1:13" ht="13.5" thickBot="1" x14ac:dyDescent="0.25">
      <c r="A14" s="1776" t="s">
        <v>431</v>
      </c>
      <c r="B14" s="1777"/>
      <c r="C14" s="1778">
        <f>C10+C11+C12+C13</f>
        <v>14463828.16</v>
      </c>
      <c r="D14" s="1779">
        <f>SUM(D10,D11,D12)+D13</f>
        <v>8357567.71</v>
      </c>
      <c r="E14" s="1780">
        <f>E10+E11+E12+E13</f>
        <v>4306886</v>
      </c>
      <c r="F14" s="1780">
        <f>SUM(F10,F11,F12,F13,)</f>
        <v>4522327</v>
      </c>
      <c r="G14" s="1780">
        <f>SUM(G10,G11,G12)+G13</f>
        <v>2675315.7999999998</v>
      </c>
      <c r="H14" s="1780">
        <f>SUM(H10,H11,H12)+H13</f>
        <v>2664792</v>
      </c>
      <c r="I14" s="3471">
        <f>SUM(I10:I13)</f>
        <v>2724639</v>
      </c>
      <c r="K14" s="509"/>
      <c r="L14" s="509"/>
    </row>
    <row r="15" spans="1:13" x14ac:dyDescent="0.2">
      <c r="A15" s="510"/>
      <c r="B15" s="511"/>
      <c r="C15" s="1005"/>
      <c r="D15" s="1003"/>
      <c r="E15" s="512"/>
      <c r="F15" s="512"/>
      <c r="G15" s="512"/>
      <c r="H15" s="3467"/>
      <c r="I15" s="3472"/>
      <c r="K15" s="509"/>
      <c r="L15" s="509"/>
      <c r="M15" s="150"/>
    </row>
    <row r="16" spans="1:13" x14ac:dyDescent="0.2">
      <c r="A16" s="513" t="s">
        <v>432</v>
      </c>
      <c r="B16" s="514"/>
      <c r="C16" s="1006"/>
      <c r="D16" s="1002"/>
      <c r="E16" s="505"/>
      <c r="F16" s="505"/>
      <c r="G16" s="505"/>
      <c r="H16" s="3468"/>
      <c r="I16" s="3473"/>
      <c r="K16" s="509"/>
      <c r="L16" s="509"/>
    </row>
    <row r="17" spans="1:12" x14ac:dyDescent="0.2">
      <c r="A17" s="506" t="s">
        <v>433</v>
      </c>
      <c r="B17" s="507"/>
      <c r="C17" s="1058">
        <f>výdavky!E801</f>
        <v>1152731.9999999998</v>
      </c>
      <c r="D17" s="364">
        <f>SUM(výdavky!F801)</f>
        <v>1078362.0000000002</v>
      </c>
      <c r="E17" s="1160">
        <f>výdavky!G801</f>
        <v>1112885</v>
      </c>
      <c r="F17" s="1160">
        <f>výdavky!I801</f>
        <v>1162796</v>
      </c>
      <c r="G17" s="1160">
        <f>SUM(výdavky!J801)</f>
        <v>1131398</v>
      </c>
      <c r="H17" s="3458">
        <f>výdavky!K801</f>
        <v>2524943</v>
      </c>
      <c r="I17" s="1058">
        <f>výdavky!L801</f>
        <v>2591493</v>
      </c>
      <c r="K17" s="150"/>
    </row>
    <row r="18" spans="1:12" x14ac:dyDescent="0.2">
      <c r="A18" s="503" t="s">
        <v>434</v>
      </c>
      <c r="B18" s="504"/>
      <c r="C18" s="1039">
        <f>výdavky!E802</f>
        <v>6479648</v>
      </c>
      <c r="D18" s="365">
        <f>SUM(výdavky!F802)</f>
        <v>3253234</v>
      </c>
      <c r="E18" s="869">
        <f>výdavky!G802</f>
        <v>815000</v>
      </c>
      <c r="F18" s="869">
        <f>výdavky!I760</f>
        <v>887305.28</v>
      </c>
      <c r="G18" s="869">
        <f>výdavky!J802</f>
        <v>154268</v>
      </c>
      <c r="H18" s="3301">
        <f>výdavky!K802</f>
        <v>6000</v>
      </c>
      <c r="I18" s="1039">
        <f>výdavky!L802</f>
        <v>6000</v>
      </c>
      <c r="J18" s="150"/>
      <c r="L18" s="150"/>
    </row>
    <row r="19" spans="1:12" x14ac:dyDescent="0.2">
      <c r="A19" s="3459" t="s">
        <v>435</v>
      </c>
      <c r="B19" s="3460"/>
      <c r="C19" s="3461">
        <f>výdavky!E803</f>
        <v>5621804</v>
      </c>
      <c r="D19" s="3462">
        <f>SUM(výdavky!F803)</f>
        <v>2744687</v>
      </c>
      <c r="E19" s="3463">
        <f>výdavky!G803</f>
        <v>1126730</v>
      </c>
      <c r="F19" s="3463">
        <f>výdavky!I782</f>
        <v>1150354</v>
      </c>
      <c r="G19" s="3463">
        <f>výdavky!J803</f>
        <v>125292</v>
      </c>
      <c r="H19" s="3469">
        <f>výdavky!K803</f>
        <v>125000</v>
      </c>
      <c r="I19" s="3461">
        <f>výdavky!L803</f>
        <v>115000</v>
      </c>
      <c r="J19" s="150"/>
      <c r="L19" s="150"/>
    </row>
    <row r="20" spans="1:12" s="3418" customFormat="1" ht="13.5" thickBot="1" x14ac:dyDescent="0.25">
      <c r="A20" s="506" t="s">
        <v>1012</v>
      </c>
      <c r="B20" s="515"/>
      <c r="C20" s="1058">
        <f>výdavky!E804</f>
        <v>1019532.36</v>
      </c>
      <c r="D20" s="364">
        <f>výdavky!F804</f>
        <v>1208049.74</v>
      </c>
      <c r="E20" s="1160">
        <f>výdavky!G804</f>
        <v>1251260</v>
      </c>
      <c r="F20" s="1160">
        <f>výdavky!I804</f>
        <v>1242186</v>
      </c>
      <c r="G20" s="1160">
        <f>výdavky!J804</f>
        <v>1254904</v>
      </c>
      <c r="H20" s="3458">
        <f>výdavky!K804</f>
        <v>0</v>
      </c>
      <c r="I20" s="1058">
        <f>výdavky!L804</f>
        <v>0</v>
      </c>
      <c r="J20" s="150"/>
      <c r="L20" s="150"/>
    </row>
    <row r="21" spans="1:12" ht="13.5" thickBot="1" x14ac:dyDescent="0.25">
      <c r="A21" s="508" t="s">
        <v>436</v>
      </c>
      <c r="B21" s="516"/>
      <c r="C21" s="1161">
        <f>SUM(C17:C19)+C20</f>
        <v>14273716.359999999</v>
      </c>
      <c r="D21" s="1164">
        <f>SUM(D17,D18,D19)+D20</f>
        <v>8284332.7400000002</v>
      </c>
      <c r="E21" s="1165">
        <f>SUM(E17:E19)+E20</f>
        <v>4305875</v>
      </c>
      <c r="F21" s="1165">
        <f>SUM(F17,F18,F19)+F20</f>
        <v>4442641.28</v>
      </c>
      <c r="G21" s="1165">
        <f>SUM(G17,G18,G19)+G20</f>
        <v>2665862</v>
      </c>
      <c r="H21" s="3470">
        <f>SUM(H17,H18,H19)+H20</f>
        <v>2655943</v>
      </c>
      <c r="I21" s="3474">
        <f>SUM(I17,I18,I19)+I20</f>
        <v>2712493</v>
      </c>
      <c r="J21" s="150"/>
      <c r="L21" s="150"/>
    </row>
    <row r="22" spans="1:12" ht="13.5" thickBot="1" x14ac:dyDescent="0.25">
      <c r="A22" s="517"/>
      <c r="B22" s="507"/>
      <c r="C22" s="3465"/>
      <c r="D22" s="1162"/>
      <c r="E22" s="3466"/>
      <c r="F22" s="1162"/>
      <c r="G22" s="3466"/>
      <c r="H22" s="1163"/>
      <c r="I22" s="3475"/>
    </row>
    <row r="23" spans="1:12" ht="13.5" thickBot="1" x14ac:dyDescent="0.25">
      <c r="A23" s="3756" t="s">
        <v>437</v>
      </c>
      <c r="B23" s="3756"/>
      <c r="C23" s="3464">
        <f>C14-C21</f>
        <v>190111.80000000075</v>
      </c>
      <c r="D23" s="1166">
        <f>SUM(D14-D21)</f>
        <v>73234.969999999739</v>
      </c>
      <c r="E23" s="1167">
        <f>E14-E21</f>
        <v>1011</v>
      </c>
      <c r="F23" s="1167">
        <f>SUM(F14-F21)</f>
        <v>79685.719999999739</v>
      </c>
      <c r="G23" s="1167">
        <f>SUM(G14-G21)</f>
        <v>9453.7999999998137</v>
      </c>
      <c r="H23" s="1167">
        <f>SUM(H14-H21)</f>
        <v>8849</v>
      </c>
      <c r="I23" s="1168">
        <f>SUM(I14-I21)</f>
        <v>12146</v>
      </c>
    </row>
    <row r="25" spans="1:12" ht="13.5" thickBot="1" x14ac:dyDescent="0.25"/>
    <row r="26" spans="1:12" ht="13.5" thickBot="1" x14ac:dyDescent="0.25">
      <c r="A26" s="489" t="s">
        <v>438</v>
      </c>
      <c r="B26" s="995"/>
      <c r="C26" s="3751" t="s">
        <v>428</v>
      </c>
      <c r="D26" s="3752"/>
      <c r="E26" s="3752"/>
      <c r="F26" s="3752"/>
      <c r="G26" s="3752"/>
      <c r="H26" s="3752"/>
      <c r="I26" s="3753"/>
    </row>
    <row r="27" spans="1:12" ht="13.5" thickBot="1" x14ac:dyDescent="0.25">
      <c r="A27" s="491"/>
      <c r="B27" s="492"/>
      <c r="C27" s="997" t="s">
        <v>1013</v>
      </c>
      <c r="D27" s="996" t="s">
        <v>1014</v>
      </c>
      <c r="E27" s="493">
        <v>2021</v>
      </c>
      <c r="F27" s="493" t="s">
        <v>992</v>
      </c>
      <c r="G27" s="3476">
        <v>2022</v>
      </c>
      <c r="H27" s="3477">
        <v>2023</v>
      </c>
      <c r="I27" s="3478">
        <v>2024</v>
      </c>
    </row>
    <row r="28" spans="1:12" x14ac:dyDescent="0.2">
      <c r="A28" s="491"/>
      <c r="B28" s="492"/>
      <c r="C28" s="1008" t="s">
        <v>176</v>
      </c>
      <c r="D28" s="1009" t="s">
        <v>176</v>
      </c>
      <c r="E28" s="998" t="s">
        <v>176</v>
      </c>
      <c r="F28" s="494" t="s">
        <v>176</v>
      </c>
      <c r="G28" s="494" t="s">
        <v>176</v>
      </c>
      <c r="H28" s="494" t="s">
        <v>176</v>
      </c>
      <c r="I28" s="494" t="s">
        <v>176</v>
      </c>
    </row>
    <row r="29" spans="1:12" ht="13.5" thickBot="1" x14ac:dyDescent="0.25">
      <c r="A29" s="495"/>
      <c r="B29" s="496"/>
      <c r="C29" s="1000">
        <v>-3</v>
      </c>
      <c r="D29" s="1010">
        <v>-2</v>
      </c>
      <c r="E29" s="1007">
        <v>-1</v>
      </c>
      <c r="F29" s="518">
        <v>-1</v>
      </c>
      <c r="G29" s="518">
        <v>0</v>
      </c>
      <c r="H29" s="498">
        <v>1</v>
      </c>
      <c r="I29" s="498">
        <v>2</v>
      </c>
    </row>
    <row r="30" spans="1:12" x14ac:dyDescent="0.2">
      <c r="A30" s="3757" t="s">
        <v>1</v>
      </c>
      <c r="B30" s="3757"/>
      <c r="C30" s="1193">
        <f t="shared" ref="C30:I30" si="0">C10+C13</f>
        <v>2325569.1599999997</v>
      </c>
      <c r="D30" s="1169">
        <f t="shared" si="0"/>
        <v>2505695.71</v>
      </c>
      <c r="E30" s="1170">
        <f t="shared" si="0"/>
        <v>2404066</v>
      </c>
      <c r="F30" s="1171">
        <f t="shared" si="0"/>
        <v>2532318</v>
      </c>
      <c r="G30" s="1171">
        <f t="shared" si="0"/>
        <v>2509205</v>
      </c>
      <c r="H30" s="1171">
        <f t="shared" si="0"/>
        <v>2634742</v>
      </c>
      <c r="I30" s="1172">
        <f t="shared" si="0"/>
        <v>2704589</v>
      </c>
    </row>
    <row r="31" spans="1:12" x14ac:dyDescent="0.2">
      <c r="A31" s="3746" t="s">
        <v>433</v>
      </c>
      <c r="B31" s="3746"/>
      <c r="C31" s="1194">
        <f>C17+C20</f>
        <v>2172264.36</v>
      </c>
      <c r="D31" s="1173">
        <f>SUM(D17)+D20</f>
        <v>2286411.7400000002</v>
      </c>
      <c r="E31" s="1174">
        <f>E17+E20</f>
        <v>2364145</v>
      </c>
      <c r="F31" s="1175" t="b">
        <f>+F20=F17</f>
        <v>0</v>
      </c>
      <c r="G31" s="1175">
        <f>G17+G20</f>
        <v>2386302</v>
      </c>
      <c r="H31" s="1175">
        <f>H17+H20</f>
        <v>2524943</v>
      </c>
      <c r="I31" s="1176">
        <f>I17+I20</f>
        <v>2591493</v>
      </c>
    </row>
    <row r="32" spans="1:12" x14ac:dyDescent="0.2">
      <c r="A32" s="3754" t="s">
        <v>439</v>
      </c>
      <c r="B32" s="3754"/>
      <c r="C32" s="1195">
        <f t="shared" ref="C32:I32" si="1">C30-C31</f>
        <v>153304.79999999981</v>
      </c>
      <c r="D32" s="1177">
        <f t="shared" si="1"/>
        <v>219283.96999999974</v>
      </c>
      <c r="E32" s="1178">
        <f t="shared" si="1"/>
        <v>39921</v>
      </c>
      <c r="F32" s="1179">
        <f t="shared" si="1"/>
        <v>2532318</v>
      </c>
      <c r="G32" s="1179">
        <f t="shared" si="1"/>
        <v>122903</v>
      </c>
      <c r="H32" s="1179">
        <f>H30-H31</f>
        <v>109799</v>
      </c>
      <c r="I32" s="1180">
        <f t="shared" si="1"/>
        <v>113096</v>
      </c>
    </row>
    <row r="33" spans="1:9" x14ac:dyDescent="0.2">
      <c r="A33" s="3744"/>
      <c r="B33" s="3744"/>
      <c r="C33" s="209"/>
      <c r="D33" s="1162"/>
      <c r="E33" s="1162"/>
      <c r="F33" s="1162"/>
      <c r="G33" s="269"/>
      <c r="H33" s="269"/>
      <c r="I33" s="375"/>
    </row>
    <row r="34" spans="1:9" x14ac:dyDescent="0.2">
      <c r="A34" s="3745" t="s">
        <v>79</v>
      </c>
      <c r="B34" s="3745"/>
      <c r="C34" s="1196">
        <f>C11</f>
        <v>5822473</v>
      </c>
      <c r="D34" s="1181">
        <f>D11</f>
        <v>2970920</v>
      </c>
      <c r="E34" s="1181">
        <f>E11</f>
        <v>1812800</v>
      </c>
      <c r="F34" s="1182">
        <f>F11</f>
        <v>1729284</v>
      </c>
      <c r="G34" s="1182">
        <f>SUM(G11)</f>
        <v>64250</v>
      </c>
      <c r="H34" s="1182">
        <f>SUM(H11)</f>
        <v>30000</v>
      </c>
      <c r="I34" s="1183">
        <f>SUM(I11)</f>
        <v>20000</v>
      </c>
    </row>
    <row r="35" spans="1:9" x14ac:dyDescent="0.2">
      <c r="A35" s="3746" t="s">
        <v>434</v>
      </c>
      <c r="B35" s="3746"/>
      <c r="C35" s="1197">
        <f>C18</f>
        <v>6479648</v>
      </c>
      <c r="D35" s="1184">
        <f>D18</f>
        <v>3253234</v>
      </c>
      <c r="E35" s="1184">
        <f>E18</f>
        <v>815000</v>
      </c>
      <c r="F35" s="1185">
        <f>F18</f>
        <v>887305.28</v>
      </c>
      <c r="G35" s="1185">
        <f>SUM(G18)</f>
        <v>154268</v>
      </c>
      <c r="H35" s="1185">
        <f>SUM(H18)</f>
        <v>6000</v>
      </c>
      <c r="I35" s="1186">
        <f>SUM(I18)</f>
        <v>6000</v>
      </c>
    </row>
    <row r="36" spans="1:9" x14ac:dyDescent="0.2">
      <c r="A36" s="3754" t="s">
        <v>439</v>
      </c>
      <c r="B36" s="3754"/>
      <c r="C36" s="1198">
        <f t="shared" ref="C36:I36" si="2">C34-C35</f>
        <v>-657175</v>
      </c>
      <c r="D36" s="1187">
        <f t="shared" si="2"/>
        <v>-282314</v>
      </c>
      <c r="E36" s="1187">
        <f t="shared" si="2"/>
        <v>997800</v>
      </c>
      <c r="F36" s="1188">
        <f t="shared" si="2"/>
        <v>841978.72</v>
      </c>
      <c r="G36" s="1188">
        <f t="shared" si="2"/>
        <v>-90018</v>
      </c>
      <c r="H36" s="1188">
        <f t="shared" si="2"/>
        <v>24000</v>
      </c>
      <c r="I36" s="1189">
        <f t="shared" si="2"/>
        <v>14000</v>
      </c>
    </row>
    <row r="37" spans="1:9" x14ac:dyDescent="0.2">
      <c r="A37" s="3744"/>
      <c r="B37" s="3744"/>
      <c r="C37" s="209"/>
      <c r="D37" s="1162"/>
      <c r="E37" s="1162"/>
      <c r="F37" s="1162"/>
      <c r="G37" s="269"/>
      <c r="H37" s="269"/>
      <c r="I37" s="375"/>
    </row>
    <row r="38" spans="1:9" x14ac:dyDescent="0.2">
      <c r="A38" s="3745" t="s">
        <v>85</v>
      </c>
      <c r="B38" s="3745"/>
      <c r="C38" s="1196">
        <f>C12</f>
        <v>6315786</v>
      </c>
      <c r="D38" s="1181">
        <f>D12</f>
        <v>2880952</v>
      </c>
      <c r="E38" s="1181">
        <f>E12</f>
        <v>90020</v>
      </c>
      <c r="F38" s="1182">
        <f>F12</f>
        <v>260725</v>
      </c>
      <c r="G38" s="1182">
        <f>SUM(G12)</f>
        <v>101860.8</v>
      </c>
      <c r="H38" s="1182">
        <f>H12</f>
        <v>50</v>
      </c>
      <c r="I38" s="1183">
        <f>SUM(I12)</f>
        <v>50</v>
      </c>
    </row>
    <row r="39" spans="1:9" x14ac:dyDescent="0.2">
      <c r="A39" s="3746" t="s">
        <v>440</v>
      </c>
      <c r="B39" s="3746"/>
      <c r="C39" s="1197">
        <f>C19</f>
        <v>5621804</v>
      </c>
      <c r="D39" s="1184">
        <f>D19</f>
        <v>2744687</v>
      </c>
      <c r="E39" s="1184">
        <f>E19</f>
        <v>1126730</v>
      </c>
      <c r="F39" s="1185">
        <f>F19</f>
        <v>1150354</v>
      </c>
      <c r="G39" s="1185">
        <f>SUM(G19)</f>
        <v>125292</v>
      </c>
      <c r="H39" s="1185">
        <f>H19</f>
        <v>125000</v>
      </c>
      <c r="I39" s="1186">
        <f>SUM(I19)</f>
        <v>115000</v>
      </c>
    </row>
    <row r="40" spans="1:9" x14ac:dyDescent="0.2">
      <c r="A40" s="3754" t="s">
        <v>439</v>
      </c>
      <c r="B40" s="3754"/>
      <c r="C40" s="1198">
        <f t="shared" ref="C40:I40" si="3">C38-C39</f>
        <v>693982</v>
      </c>
      <c r="D40" s="1187">
        <f t="shared" si="3"/>
        <v>136265</v>
      </c>
      <c r="E40" s="1187">
        <f t="shared" si="3"/>
        <v>-1036710</v>
      </c>
      <c r="F40" s="1188">
        <f t="shared" si="3"/>
        <v>-889629</v>
      </c>
      <c r="G40" s="1188">
        <f t="shared" si="3"/>
        <v>-23431.199999999997</v>
      </c>
      <c r="H40" s="1188">
        <f t="shared" si="3"/>
        <v>-124950</v>
      </c>
      <c r="I40" s="1189">
        <f t="shared" si="3"/>
        <v>-114950</v>
      </c>
    </row>
    <row r="41" spans="1:9" x14ac:dyDescent="0.2">
      <c r="A41" s="3744"/>
      <c r="B41" s="3744"/>
      <c r="C41" s="209"/>
      <c r="D41" s="269"/>
      <c r="E41" s="269"/>
      <c r="F41" s="269"/>
      <c r="G41" s="269"/>
      <c r="H41" s="269"/>
      <c r="I41" s="375"/>
    </row>
    <row r="42" spans="1:9" x14ac:dyDescent="0.2">
      <c r="A42" s="3745" t="s">
        <v>441</v>
      </c>
      <c r="B42" s="3745"/>
      <c r="C42" s="1196">
        <f>C14</f>
        <v>14463828.16</v>
      </c>
      <c r="D42" s="1181">
        <f>D14</f>
        <v>8357567.71</v>
      </c>
      <c r="E42" s="1181">
        <f>E14</f>
        <v>4306886</v>
      </c>
      <c r="F42" s="1182">
        <f>F14</f>
        <v>4522327</v>
      </c>
      <c r="G42" s="1182">
        <f>SUM(G14)</f>
        <v>2675315.7999999998</v>
      </c>
      <c r="H42" s="1182">
        <f>H14</f>
        <v>2664792</v>
      </c>
      <c r="I42" s="1183">
        <f>I14</f>
        <v>2724639</v>
      </c>
    </row>
    <row r="43" spans="1:9" x14ac:dyDescent="0.2">
      <c r="A43" s="3746" t="s">
        <v>442</v>
      </c>
      <c r="B43" s="3746"/>
      <c r="C43" s="1199">
        <f>C21</f>
        <v>14273716.359999999</v>
      </c>
      <c r="D43" s="1184">
        <f>D21</f>
        <v>8284332.7400000002</v>
      </c>
      <c r="E43" s="1184">
        <f>E21</f>
        <v>4305875</v>
      </c>
      <c r="F43" s="1185">
        <f>F21</f>
        <v>4442641.28</v>
      </c>
      <c r="G43" s="1185">
        <f>SUM(G21)</f>
        <v>2665862</v>
      </c>
      <c r="H43" s="1185">
        <f>H21</f>
        <v>2655943</v>
      </c>
      <c r="I43" s="1186">
        <f>I21</f>
        <v>2712493</v>
      </c>
    </row>
    <row r="44" spans="1:9" x14ac:dyDescent="0.2">
      <c r="A44" s="3747" t="s">
        <v>439</v>
      </c>
      <c r="B44" s="3747"/>
      <c r="C44" s="1200">
        <f t="shared" ref="C44:I44" si="4">C42-C43</f>
        <v>190111.80000000075</v>
      </c>
      <c r="D44" s="1190">
        <f t="shared" si="4"/>
        <v>73234.969999999739</v>
      </c>
      <c r="E44" s="1190">
        <f t="shared" si="4"/>
        <v>1011</v>
      </c>
      <c r="F44" s="1191">
        <f t="shared" si="4"/>
        <v>79685.719999999739</v>
      </c>
      <c r="G44" s="1191">
        <f t="shared" si="4"/>
        <v>9453.7999999998137</v>
      </c>
      <c r="H44" s="1191">
        <f t="shared" si="4"/>
        <v>8849</v>
      </c>
      <c r="I44" s="1192">
        <f t="shared" si="4"/>
        <v>12146</v>
      </c>
    </row>
  </sheetData>
  <mergeCells count="20">
    <mergeCell ref="A1:I1"/>
    <mergeCell ref="A2:I2"/>
    <mergeCell ref="A23:B23"/>
    <mergeCell ref="A35:B35"/>
    <mergeCell ref="A36:B36"/>
    <mergeCell ref="A30:B30"/>
    <mergeCell ref="A31:B31"/>
    <mergeCell ref="A32:B32"/>
    <mergeCell ref="A41:B41"/>
    <mergeCell ref="A42:B42"/>
    <mergeCell ref="A43:B43"/>
    <mergeCell ref="A44:B44"/>
    <mergeCell ref="C5:I5"/>
    <mergeCell ref="C26:I26"/>
    <mergeCell ref="A33:B33"/>
    <mergeCell ref="A34:B34"/>
    <mergeCell ref="A37:B37"/>
    <mergeCell ref="A38:B38"/>
    <mergeCell ref="A39:B39"/>
    <mergeCell ref="A40:B40"/>
  </mergeCells>
  <phoneticPr fontId="44" type="noConversion"/>
  <pageMargins left="0.59055118110236227" right="0.19685039370078741" top="0.78740157480314965" bottom="0.78740157480314965" header="0.51181102362204722" footer="0.51181102362204722"/>
  <pageSetup paperSize="9" scale="84" firstPageNumber="0" fitToHeight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19"/>
  <sheetViews>
    <sheetView showWhiteSpace="0" topLeftCell="A517" zoomScaleNormal="100" workbookViewId="0">
      <selection activeCell="J517" sqref="J517"/>
    </sheetView>
  </sheetViews>
  <sheetFormatPr defaultColWidth="6.28515625" defaultRowHeight="12.75" x14ac:dyDescent="0.2"/>
  <cols>
    <col min="1" max="1" width="5.28515625" style="16" customWidth="1"/>
    <col min="2" max="2" width="4.5703125" style="16" customWidth="1"/>
    <col min="3" max="3" width="39.5703125" style="16" customWidth="1"/>
    <col min="4" max="4" width="9.7109375" style="16" hidden="1" customWidth="1"/>
    <col min="5" max="6" width="9.7109375" style="16" customWidth="1"/>
    <col min="7" max="9" width="10.7109375" style="519" customWidth="1"/>
    <col min="10" max="10" width="12.28515625" style="2310" customWidth="1"/>
    <col min="11" max="11" width="10.7109375" style="519" customWidth="1"/>
    <col min="12" max="12" width="10.7109375" style="520" customWidth="1"/>
    <col min="13" max="13" width="24" style="20" customWidth="1"/>
    <col min="14" max="17" width="10.7109375" style="20" customWidth="1"/>
    <col min="18" max="18" width="19.85546875" style="16" customWidth="1"/>
    <col min="19" max="19" width="9.140625" style="16" customWidth="1"/>
    <col min="20" max="16384" width="6.28515625" style="16"/>
  </cols>
  <sheetData>
    <row r="1" spans="1:19" ht="15.75" x14ac:dyDescent="0.25">
      <c r="A1" s="3812" t="s">
        <v>931</v>
      </c>
      <c r="B1" s="3812"/>
      <c r="C1" s="3812"/>
      <c r="D1" s="3812"/>
      <c r="E1" s="3812"/>
      <c r="F1" s="3812"/>
      <c r="G1" s="3812"/>
      <c r="H1" s="3812"/>
      <c r="I1" s="3812"/>
      <c r="J1" s="3812"/>
      <c r="K1" s="3812"/>
      <c r="L1" s="3812"/>
      <c r="M1" s="521"/>
      <c r="N1" s="521"/>
      <c r="O1" s="521"/>
      <c r="P1" s="521"/>
      <c r="Q1" s="521"/>
    </row>
    <row r="2" spans="1:19" x14ac:dyDescent="0.2">
      <c r="J2" s="3039"/>
    </row>
    <row r="3" spans="1:19" x14ac:dyDescent="0.2">
      <c r="C3" s="522" t="s">
        <v>433</v>
      </c>
      <c r="D3" s="522"/>
      <c r="E3" s="522"/>
      <c r="F3" s="522"/>
      <c r="J3" s="3039"/>
    </row>
    <row r="4" spans="1:19" ht="13.5" thickBot="1" x14ac:dyDescent="0.25">
      <c r="H4" s="3795" t="s">
        <v>447</v>
      </c>
      <c r="I4" s="3795"/>
      <c r="J4" s="3795"/>
      <c r="K4" s="3795"/>
      <c r="L4" s="3795"/>
      <c r="M4" s="129"/>
      <c r="N4" s="129"/>
      <c r="O4" s="129"/>
      <c r="P4" s="129"/>
      <c r="Q4" s="129"/>
    </row>
    <row r="5" spans="1:19" ht="16.5" hidden="1" thickBot="1" x14ac:dyDescent="0.3">
      <c r="A5" s="3710"/>
      <c r="B5" s="3710"/>
      <c r="C5" s="3710"/>
      <c r="D5" s="3710"/>
      <c r="E5" s="3710"/>
      <c r="F5" s="3710"/>
      <c r="G5" s="3710"/>
      <c r="H5" s="523"/>
      <c r="I5" s="523"/>
      <c r="K5" s="523" t="s">
        <v>443</v>
      </c>
    </row>
    <row r="6" spans="1:19" s="529" customFormat="1" ht="23.25" thickBot="1" x14ac:dyDescent="0.25">
      <c r="A6" s="2352" t="s">
        <v>433</v>
      </c>
      <c r="B6" s="2353"/>
      <c r="C6" s="2355"/>
      <c r="D6" s="2355">
        <v>2018</v>
      </c>
      <c r="E6" s="3253" t="s">
        <v>825</v>
      </c>
      <c r="F6" s="3254" t="s">
        <v>958</v>
      </c>
      <c r="G6" s="2356">
        <v>2021</v>
      </c>
      <c r="H6" s="2343" t="s">
        <v>873</v>
      </c>
      <c r="I6" s="2343" t="s">
        <v>929</v>
      </c>
      <c r="J6" s="3113">
        <v>2022</v>
      </c>
      <c r="K6" s="2344">
        <v>2023</v>
      </c>
      <c r="L6" s="2345">
        <v>2024</v>
      </c>
      <c r="M6" s="525"/>
      <c r="N6" s="30"/>
      <c r="O6" s="525"/>
      <c r="P6" s="526"/>
      <c r="Q6" s="527"/>
      <c r="R6" s="528"/>
    </row>
    <row r="7" spans="1:19" s="17" customFormat="1" ht="13.5" thickBot="1" x14ac:dyDescent="0.25">
      <c r="A7" s="2643" t="s">
        <v>448</v>
      </c>
      <c r="B7" s="2644"/>
      <c r="C7" s="2645"/>
      <c r="D7" s="2646">
        <f>SUM(D8,D10,D12,D13)+D11+D16+D9</f>
        <v>265246</v>
      </c>
      <c r="E7" s="2647">
        <f>SUM(E8,E10,E12,E13)+E11+E16+E9</f>
        <v>257057</v>
      </c>
      <c r="F7" s="2648">
        <f>F8+F9+F12+F13+F10</f>
        <v>236048</v>
      </c>
      <c r="G7" s="2649">
        <f>G8+G12+G13+G10+G11+G9</f>
        <v>254360</v>
      </c>
      <c r="H7" s="2648">
        <f>H8+H9+H12+H13+H10</f>
        <v>284658</v>
      </c>
      <c r="I7" s="2650">
        <f>I8+I9+I12+I13+I10</f>
        <v>284155</v>
      </c>
      <c r="J7" s="2651">
        <f>J8+J9+J12+J13+J10</f>
        <v>301360</v>
      </c>
      <c r="K7" s="2652">
        <f>K8+K12+K13+K10</f>
        <v>278960</v>
      </c>
      <c r="L7" s="2653">
        <f>L8+L12+L13+L10</f>
        <v>280960</v>
      </c>
      <c r="M7" s="119"/>
      <c r="N7" s="119"/>
      <c r="O7" s="119"/>
      <c r="P7" s="530"/>
      <c r="Q7" s="530"/>
      <c r="R7" s="531"/>
    </row>
    <row r="8" spans="1:19" s="65" customFormat="1" ht="11.25" x14ac:dyDescent="0.2">
      <c r="A8" s="565">
        <v>610</v>
      </c>
      <c r="B8" s="2638"/>
      <c r="C8" s="2639" t="s">
        <v>449</v>
      </c>
      <c r="D8" s="73">
        <v>90000</v>
      </c>
      <c r="E8" s="73">
        <v>96091</v>
      </c>
      <c r="F8" s="1643">
        <v>100548</v>
      </c>
      <c r="G8" s="2919">
        <v>105500</v>
      </c>
      <c r="H8" s="2919">
        <v>105500</v>
      </c>
      <c r="I8" s="3044">
        <v>105500</v>
      </c>
      <c r="J8" s="2640">
        <v>107000</v>
      </c>
      <c r="K8" s="2641">
        <v>107000</v>
      </c>
      <c r="L8" s="2642">
        <v>107000</v>
      </c>
      <c r="M8" s="111"/>
      <c r="N8" s="111"/>
      <c r="O8" s="111"/>
      <c r="Q8" s="73"/>
    </row>
    <row r="9" spans="1:19" s="65" customFormat="1" ht="11.25" x14ac:dyDescent="0.2">
      <c r="A9" s="704">
        <v>610</v>
      </c>
      <c r="B9" s="705"/>
      <c r="C9" s="1140" t="s">
        <v>649</v>
      </c>
      <c r="D9" s="1788">
        <v>0</v>
      </c>
      <c r="E9" s="1788">
        <v>0</v>
      </c>
      <c r="F9" s="2249">
        <v>0</v>
      </c>
      <c r="G9" s="2920">
        <v>0</v>
      </c>
      <c r="H9" s="2920">
        <v>0</v>
      </c>
      <c r="I9" s="3045">
        <v>0</v>
      </c>
      <c r="J9" s="2322">
        <v>0</v>
      </c>
      <c r="K9" s="2056">
        <v>0</v>
      </c>
      <c r="L9" s="1493">
        <v>0</v>
      </c>
      <c r="M9" s="111"/>
      <c r="N9" s="111"/>
      <c r="O9" s="111"/>
      <c r="Q9" s="73"/>
    </row>
    <row r="10" spans="1:19" s="65" customFormat="1" ht="11.25" x14ac:dyDescent="0.2">
      <c r="A10" s="533">
        <v>610</v>
      </c>
      <c r="B10" s="532"/>
      <c r="C10" s="1141" t="s">
        <v>450</v>
      </c>
      <c r="D10" s="1789">
        <v>1500</v>
      </c>
      <c r="E10" s="1789">
        <v>5124</v>
      </c>
      <c r="F10" s="1846">
        <v>0</v>
      </c>
      <c r="G10" s="2921">
        <v>1500</v>
      </c>
      <c r="H10" s="2921">
        <v>1500</v>
      </c>
      <c r="I10" s="3046">
        <v>0</v>
      </c>
      <c r="J10" s="2445">
        <v>1500</v>
      </c>
      <c r="K10" s="2057">
        <v>0</v>
      </c>
      <c r="L10" s="1402">
        <v>0</v>
      </c>
      <c r="M10" s="111"/>
      <c r="N10" s="534"/>
      <c r="O10" s="111"/>
      <c r="P10" s="528"/>
      <c r="Q10" s="73"/>
    </row>
    <row r="11" spans="1:19" s="65" customFormat="1" ht="11.25" x14ac:dyDescent="0.2">
      <c r="A11" s="535">
        <v>625</v>
      </c>
      <c r="B11" s="536" t="s">
        <v>92</v>
      </c>
      <c r="C11" s="1142" t="s">
        <v>451</v>
      </c>
      <c r="D11" s="1858">
        <v>0</v>
      </c>
      <c r="E11" s="3262">
        <v>0</v>
      </c>
      <c r="F11" s="1844">
        <v>0</v>
      </c>
      <c r="G11" s="2893">
        <v>0</v>
      </c>
      <c r="H11" s="2893">
        <v>0</v>
      </c>
      <c r="I11" s="3047">
        <v>0</v>
      </c>
      <c r="J11" s="2322">
        <v>0</v>
      </c>
      <c r="K11" s="2058">
        <v>0</v>
      </c>
      <c r="L11" s="1403">
        <v>0</v>
      </c>
      <c r="M11" s="111"/>
      <c r="N11" s="111"/>
      <c r="O11" s="111"/>
      <c r="P11" s="528"/>
      <c r="Q11" s="73"/>
    </row>
    <row r="12" spans="1:19" x14ac:dyDescent="0.2">
      <c r="A12" s="42">
        <v>620</v>
      </c>
      <c r="B12" s="43"/>
      <c r="C12" s="1143" t="s">
        <v>194</v>
      </c>
      <c r="D12" s="1835">
        <v>35500</v>
      </c>
      <c r="E12" s="3263">
        <v>34212</v>
      </c>
      <c r="F12" s="1433">
        <v>36157</v>
      </c>
      <c r="G12" s="2853">
        <v>39340</v>
      </c>
      <c r="H12" s="2853">
        <v>39340</v>
      </c>
      <c r="I12" s="3048">
        <v>39340</v>
      </c>
      <c r="J12" s="2322">
        <v>40600</v>
      </c>
      <c r="K12" s="2058">
        <v>40600</v>
      </c>
      <c r="L12" s="1385">
        <v>40600</v>
      </c>
      <c r="M12" s="111"/>
      <c r="N12" s="111"/>
      <c r="O12" s="111"/>
      <c r="P12" s="65"/>
      <c r="Q12" s="73"/>
    </row>
    <row r="13" spans="1:19" s="20" customFormat="1" x14ac:dyDescent="0.2">
      <c r="A13" s="537">
        <v>630</v>
      </c>
      <c r="B13" s="538"/>
      <c r="C13" s="1144" t="s">
        <v>363</v>
      </c>
      <c r="D13" s="3255">
        <f t="shared" ref="D13:L13" si="0">D14+D15+D17+D30+D37+D41+D49+D70</f>
        <v>138246</v>
      </c>
      <c r="E13" s="3264">
        <f>E14+E15+E17+E30+E37+E41+E49+E70</f>
        <v>121630</v>
      </c>
      <c r="F13" s="2166">
        <f>F14+F15+F17+F30+F37+F41+F49+F70</f>
        <v>99343</v>
      </c>
      <c r="G13" s="2922">
        <f t="shared" si="0"/>
        <v>108020</v>
      </c>
      <c r="H13" s="2973">
        <f t="shared" si="0"/>
        <v>138318</v>
      </c>
      <c r="I13" s="3049">
        <f>I14+I15+I17+I30+I37+I41+I49+I70</f>
        <v>139315</v>
      </c>
      <c r="J13" s="2322">
        <f>J14+J15+J17+J30+J37+J41+J49+J70</f>
        <v>152260</v>
      </c>
      <c r="K13" s="1404">
        <f t="shared" si="0"/>
        <v>131360</v>
      </c>
      <c r="L13" s="1405">
        <f t="shared" si="0"/>
        <v>133360</v>
      </c>
      <c r="M13" s="126"/>
      <c r="N13" s="126"/>
      <c r="O13" s="126"/>
      <c r="P13" s="74"/>
      <c r="Q13" s="74"/>
      <c r="S13" s="21"/>
    </row>
    <row r="14" spans="1:19" s="20" customFormat="1" x14ac:dyDescent="0.2">
      <c r="A14" s="539" t="s">
        <v>452</v>
      </c>
      <c r="B14" s="540"/>
      <c r="C14" s="1145" t="s">
        <v>196</v>
      </c>
      <c r="D14" s="3256">
        <v>200</v>
      </c>
      <c r="E14" s="3265">
        <v>59</v>
      </c>
      <c r="F14" s="2160">
        <v>0</v>
      </c>
      <c r="G14" s="2923">
        <v>200</v>
      </c>
      <c r="H14" s="2923">
        <v>200</v>
      </c>
      <c r="I14" s="3050">
        <v>100</v>
      </c>
      <c r="J14" s="2446">
        <v>100</v>
      </c>
      <c r="K14" s="2059">
        <v>200</v>
      </c>
      <c r="L14" s="1406">
        <v>200</v>
      </c>
      <c r="M14" s="111"/>
      <c r="N14" s="541"/>
      <c r="O14" s="111"/>
      <c r="P14" s="542"/>
      <c r="Q14" s="543"/>
    </row>
    <row r="15" spans="1:19" s="20" customFormat="1" x14ac:dyDescent="0.2">
      <c r="A15" s="544">
        <v>632</v>
      </c>
      <c r="B15" s="545"/>
      <c r="C15" s="1146" t="s">
        <v>453</v>
      </c>
      <c r="D15" s="3256">
        <v>15200</v>
      </c>
      <c r="E15" s="3265">
        <v>12467</v>
      </c>
      <c r="F15" s="2160">
        <v>12788</v>
      </c>
      <c r="G15" s="2923">
        <v>15450</v>
      </c>
      <c r="H15" s="2923">
        <v>15450</v>
      </c>
      <c r="I15" s="3050">
        <v>15450</v>
      </c>
      <c r="J15" s="2446">
        <v>25000</v>
      </c>
      <c r="K15" s="2059">
        <v>25000</v>
      </c>
      <c r="L15" s="1406">
        <v>25000</v>
      </c>
      <c r="M15" s="111"/>
      <c r="N15" s="541"/>
      <c r="O15" s="111"/>
      <c r="P15" s="542"/>
      <c r="Q15" s="543"/>
    </row>
    <row r="16" spans="1:19" s="550" customFormat="1" x14ac:dyDescent="0.2">
      <c r="A16" s="546">
        <v>632</v>
      </c>
      <c r="B16" s="547" t="s">
        <v>454</v>
      </c>
      <c r="C16" s="1147"/>
      <c r="D16" s="1858">
        <v>0</v>
      </c>
      <c r="E16" s="3262">
        <v>0</v>
      </c>
      <c r="F16" s="1844">
        <v>0</v>
      </c>
      <c r="G16" s="2893">
        <v>0</v>
      </c>
      <c r="H16" s="2893">
        <v>0</v>
      </c>
      <c r="I16" s="3047">
        <v>0</v>
      </c>
      <c r="J16" s="2322">
        <v>0</v>
      </c>
      <c r="K16" s="2058">
        <v>0</v>
      </c>
      <c r="L16" s="1403">
        <v>0</v>
      </c>
      <c r="M16" s="534"/>
      <c r="N16" s="534"/>
      <c r="O16" s="534"/>
      <c r="P16" s="548"/>
      <c r="Q16" s="549"/>
    </row>
    <row r="17" spans="1:19" s="20" customFormat="1" x14ac:dyDescent="0.2">
      <c r="A17" s="551">
        <v>633</v>
      </c>
      <c r="B17" s="552"/>
      <c r="C17" s="1148" t="s">
        <v>455</v>
      </c>
      <c r="D17" s="2159">
        <f>SUM(D18:D29)-D23</f>
        <v>34684</v>
      </c>
      <c r="E17" s="3266">
        <f t="shared" ref="E17:I17" si="1">SUM(E18,E19,E20,E21,E22,E24,E25,E26,E27,E28,E29)</f>
        <v>36414</v>
      </c>
      <c r="F17" s="2167">
        <f t="shared" si="1"/>
        <v>27464</v>
      </c>
      <c r="G17" s="1792">
        <f t="shared" si="1"/>
        <v>26800</v>
      </c>
      <c r="H17" s="2974">
        <f t="shared" si="1"/>
        <v>26800</v>
      </c>
      <c r="I17" s="3051">
        <f t="shared" si="1"/>
        <v>26800</v>
      </c>
      <c r="J17" s="2446">
        <f>SUM(J18,J19,J20,J21,J22,J24,J25,J26,J27,J28,J29)</f>
        <v>26800</v>
      </c>
      <c r="K17" s="1394">
        <f>SUM(K18,K19,K20,K21,K22,K24,K25,K26,K27,K28,K23)+K29</f>
        <v>26700</v>
      </c>
      <c r="L17" s="1395">
        <f>SUM(L18,L19,L20,L21,L22,L24,L25,L26,L27,L28,L23)+L29</f>
        <v>26700</v>
      </c>
      <c r="M17" s="553"/>
      <c r="N17" s="553"/>
      <c r="O17" s="553"/>
      <c r="P17" s="554"/>
      <c r="Q17" s="554"/>
    </row>
    <row r="18" spans="1:19" s="20" customFormat="1" x14ac:dyDescent="0.2">
      <c r="A18" s="555">
        <v>633</v>
      </c>
      <c r="B18" s="556" t="s">
        <v>94</v>
      </c>
      <c r="C18" s="1136" t="s">
        <v>456</v>
      </c>
      <c r="D18" s="1835">
        <v>1700</v>
      </c>
      <c r="E18" s="1433">
        <v>0</v>
      </c>
      <c r="F18" s="1433">
        <v>1542</v>
      </c>
      <c r="G18" s="2853">
        <v>500</v>
      </c>
      <c r="H18" s="2853">
        <v>500</v>
      </c>
      <c r="I18" s="3048">
        <v>500</v>
      </c>
      <c r="J18" s="2322">
        <v>500</v>
      </c>
      <c r="K18" s="2058">
        <v>500</v>
      </c>
      <c r="L18" s="1385">
        <v>500</v>
      </c>
      <c r="M18" s="111"/>
      <c r="N18" s="111"/>
      <c r="O18" s="111"/>
      <c r="P18" s="65"/>
      <c r="Q18" s="73"/>
    </row>
    <row r="19" spans="1:19" x14ac:dyDescent="0.2">
      <c r="A19" s="42">
        <v>633</v>
      </c>
      <c r="B19" s="557" t="s">
        <v>97</v>
      </c>
      <c r="C19" s="1143" t="s">
        <v>457</v>
      </c>
      <c r="D19" s="1835">
        <v>1515</v>
      </c>
      <c r="E19" s="1433">
        <v>0</v>
      </c>
      <c r="F19" s="1433">
        <v>500</v>
      </c>
      <c r="G19" s="2853">
        <v>500</v>
      </c>
      <c r="H19" s="2853">
        <v>500</v>
      </c>
      <c r="I19" s="3048">
        <v>500</v>
      </c>
      <c r="J19" s="2322">
        <v>500</v>
      </c>
      <c r="K19" s="2058">
        <v>500</v>
      </c>
      <c r="L19" s="1385">
        <v>500</v>
      </c>
      <c r="M19" s="111"/>
      <c r="N19" s="111"/>
      <c r="O19" s="111"/>
      <c r="P19" s="65"/>
      <c r="Q19" s="73"/>
    </row>
    <row r="20" spans="1:19" x14ac:dyDescent="0.2">
      <c r="A20" s="42">
        <v>633</v>
      </c>
      <c r="B20" s="557" t="s">
        <v>120</v>
      </c>
      <c r="C20" s="1143" t="s">
        <v>458</v>
      </c>
      <c r="D20" s="1835">
        <v>1000</v>
      </c>
      <c r="E20" s="1433">
        <v>5734</v>
      </c>
      <c r="F20" s="1433">
        <v>984</v>
      </c>
      <c r="G20" s="2853">
        <v>2000</v>
      </c>
      <c r="H20" s="2853">
        <v>2000</v>
      </c>
      <c r="I20" s="3048">
        <v>2000</v>
      </c>
      <c r="J20" s="2322">
        <v>2000</v>
      </c>
      <c r="K20" s="2058">
        <v>1000</v>
      </c>
      <c r="L20" s="1385">
        <v>1000</v>
      </c>
      <c r="M20" s="111"/>
      <c r="N20" s="111"/>
      <c r="O20" s="111"/>
      <c r="P20" s="65"/>
      <c r="Q20" s="73"/>
    </row>
    <row r="21" spans="1:19" x14ac:dyDescent="0.2">
      <c r="A21" s="42">
        <v>633</v>
      </c>
      <c r="B21" s="557" t="s">
        <v>125</v>
      </c>
      <c r="C21" s="1143" t="s">
        <v>459</v>
      </c>
      <c r="D21" s="1835">
        <v>0</v>
      </c>
      <c r="E21" s="1433">
        <v>0</v>
      </c>
      <c r="F21" s="1433">
        <v>0</v>
      </c>
      <c r="G21" s="2853">
        <v>0</v>
      </c>
      <c r="H21" s="2853">
        <v>0</v>
      </c>
      <c r="I21" s="3048">
        <v>0</v>
      </c>
      <c r="J21" s="2322">
        <v>0</v>
      </c>
      <c r="K21" s="2058">
        <v>0</v>
      </c>
      <c r="L21" s="1385">
        <v>0</v>
      </c>
      <c r="M21" s="111"/>
      <c r="N21" s="111"/>
      <c r="O21" s="111"/>
      <c r="P21" s="65"/>
      <c r="Q21" s="73"/>
    </row>
    <row r="22" spans="1:19" x14ac:dyDescent="0.2">
      <c r="A22" s="42">
        <v>633</v>
      </c>
      <c r="B22" s="43" t="s">
        <v>125</v>
      </c>
      <c r="C22" s="1143" t="s">
        <v>460</v>
      </c>
      <c r="D22" s="1835">
        <v>13568</v>
      </c>
      <c r="E22" s="1433">
        <v>15584</v>
      </c>
      <c r="F22" s="1433">
        <v>12968</v>
      </c>
      <c r="G22" s="2853">
        <v>12000</v>
      </c>
      <c r="H22" s="2853">
        <v>12000</v>
      </c>
      <c r="I22" s="3048">
        <v>12000</v>
      </c>
      <c r="J22" s="2322">
        <v>12000</v>
      </c>
      <c r="K22" s="2058">
        <v>12000</v>
      </c>
      <c r="L22" s="1385">
        <v>12000</v>
      </c>
      <c r="M22" s="111"/>
      <c r="N22" s="111"/>
      <c r="O22" s="111"/>
      <c r="P22" s="65"/>
      <c r="Q22" s="73"/>
    </row>
    <row r="23" spans="1:19" x14ac:dyDescent="0.2">
      <c r="A23" s="706">
        <v>633</v>
      </c>
      <c r="B23" s="707" t="s">
        <v>125</v>
      </c>
      <c r="C23" s="1149" t="s">
        <v>650</v>
      </c>
      <c r="D23" s="1855">
        <v>568</v>
      </c>
      <c r="E23" s="1641">
        <v>973</v>
      </c>
      <c r="F23" s="1641">
        <v>913</v>
      </c>
      <c r="G23" s="2887">
        <v>1000</v>
      </c>
      <c r="H23" s="2887">
        <v>1000</v>
      </c>
      <c r="I23" s="3052">
        <v>1000</v>
      </c>
      <c r="J23" s="2322">
        <v>1000</v>
      </c>
      <c r="K23" s="2058">
        <v>1000</v>
      </c>
      <c r="L23" s="1393">
        <v>1000</v>
      </c>
      <c r="M23" s="111"/>
      <c r="N23" s="534"/>
      <c r="O23" s="111"/>
      <c r="P23" s="528"/>
      <c r="Q23" s="73"/>
      <c r="S23" s="559"/>
    </row>
    <row r="24" spans="1:19" x14ac:dyDescent="0.2">
      <c r="A24" s="42">
        <v>633</v>
      </c>
      <c r="B24" s="43" t="s">
        <v>461</v>
      </c>
      <c r="C24" s="1143" t="s">
        <v>462</v>
      </c>
      <c r="D24" s="1835">
        <v>5000</v>
      </c>
      <c r="E24" s="1433">
        <v>5189</v>
      </c>
      <c r="F24" s="1433">
        <v>4523</v>
      </c>
      <c r="G24" s="2853">
        <v>3500</v>
      </c>
      <c r="H24" s="2853">
        <v>3500</v>
      </c>
      <c r="I24" s="3048">
        <v>3500</v>
      </c>
      <c r="J24" s="2322">
        <v>3500</v>
      </c>
      <c r="K24" s="2058">
        <v>3500</v>
      </c>
      <c r="L24" s="1385">
        <v>3500</v>
      </c>
      <c r="M24" s="111"/>
      <c r="N24" s="111"/>
      <c r="O24" s="111"/>
      <c r="P24" s="65"/>
      <c r="Q24" s="73"/>
      <c r="R24" s="560"/>
    </row>
    <row r="25" spans="1:19" x14ac:dyDescent="0.2">
      <c r="A25" s="42">
        <v>633</v>
      </c>
      <c r="B25" s="43" t="s">
        <v>463</v>
      </c>
      <c r="C25" s="1143" t="s">
        <v>464</v>
      </c>
      <c r="D25" s="1835">
        <v>0</v>
      </c>
      <c r="E25" s="1433">
        <v>0</v>
      </c>
      <c r="F25" s="1433">
        <v>0</v>
      </c>
      <c r="G25" s="2853">
        <v>0</v>
      </c>
      <c r="H25" s="2853">
        <v>0</v>
      </c>
      <c r="I25" s="3048">
        <v>0</v>
      </c>
      <c r="J25" s="2322">
        <v>0</v>
      </c>
      <c r="K25" s="2058">
        <v>0</v>
      </c>
      <c r="L25" s="1385">
        <v>0</v>
      </c>
      <c r="M25" s="111"/>
      <c r="N25" s="111"/>
      <c r="O25" s="111"/>
      <c r="P25" s="65"/>
      <c r="Q25" s="73"/>
    </row>
    <row r="26" spans="1:19" x14ac:dyDescent="0.2">
      <c r="A26" s="42">
        <v>633</v>
      </c>
      <c r="B26" s="43" t="s">
        <v>465</v>
      </c>
      <c r="C26" s="1143" t="s">
        <v>466</v>
      </c>
      <c r="D26" s="1835">
        <v>100</v>
      </c>
      <c r="E26" s="1433">
        <v>4</v>
      </c>
      <c r="F26" s="1433">
        <v>100</v>
      </c>
      <c r="G26" s="2853">
        <v>100</v>
      </c>
      <c r="H26" s="2853">
        <v>100</v>
      </c>
      <c r="I26" s="3048">
        <v>100</v>
      </c>
      <c r="J26" s="2322">
        <v>100</v>
      </c>
      <c r="K26" s="2058">
        <v>100</v>
      </c>
      <c r="L26" s="1385">
        <v>100</v>
      </c>
      <c r="M26" s="111"/>
      <c r="N26" s="111"/>
      <c r="O26" s="111"/>
      <c r="P26" s="65"/>
      <c r="Q26" s="73"/>
    </row>
    <row r="27" spans="1:19" x14ac:dyDescent="0.2">
      <c r="A27" s="42">
        <v>633</v>
      </c>
      <c r="B27" s="43" t="s">
        <v>103</v>
      </c>
      <c r="C27" s="1143" t="s">
        <v>467</v>
      </c>
      <c r="D27" s="1835">
        <v>2500</v>
      </c>
      <c r="E27" s="1433">
        <v>2934</v>
      </c>
      <c r="F27" s="1433">
        <v>3100</v>
      </c>
      <c r="G27" s="2853">
        <v>3100</v>
      </c>
      <c r="H27" s="2853">
        <v>3100</v>
      </c>
      <c r="I27" s="3048">
        <v>3100</v>
      </c>
      <c r="J27" s="2322">
        <v>3100</v>
      </c>
      <c r="K27" s="2058">
        <v>3100</v>
      </c>
      <c r="L27" s="1385">
        <v>3100</v>
      </c>
      <c r="M27" s="111"/>
      <c r="N27" s="111"/>
      <c r="O27" s="111"/>
      <c r="P27" s="65"/>
      <c r="Q27" s="73"/>
    </row>
    <row r="28" spans="1:19" x14ac:dyDescent="0.2">
      <c r="A28" s="63">
        <v>633</v>
      </c>
      <c r="B28" s="85" t="s">
        <v>468</v>
      </c>
      <c r="C28" s="1150" t="s">
        <v>469</v>
      </c>
      <c r="D28" s="1835">
        <v>9201</v>
      </c>
      <c r="E28" s="1433">
        <v>6969</v>
      </c>
      <c r="F28" s="1433">
        <v>3647</v>
      </c>
      <c r="G28" s="2853">
        <v>5000</v>
      </c>
      <c r="H28" s="2853">
        <v>5000</v>
      </c>
      <c r="I28" s="3048">
        <v>5000</v>
      </c>
      <c r="J28" s="2322">
        <v>5000</v>
      </c>
      <c r="K28" s="2058">
        <v>5000</v>
      </c>
      <c r="L28" s="1385">
        <v>5000</v>
      </c>
      <c r="M28" s="111"/>
      <c r="N28" s="111"/>
      <c r="O28" s="111"/>
      <c r="P28" s="65"/>
      <c r="Q28" s="73"/>
    </row>
    <row r="29" spans="1:19" s="559" customFormat="1" x14ac:dyDescent="0.2">
      <c r="A29" s="42">
        <v>633</v>
      </c>
      <c r="B29" s="43" t="s">
        <v>494</v>
      </c>
      <c r="C29" s="1143" t="s">
        <v>651</v>
      </c>
      <c r="D29" s="1829">
        <v>100</v>
      </c>
      <c r="E29" s="1638">
        <v>0</v>
      </c>
      <c r="F29" s="1638">
        <v>100</v>
      </c>
      <c r="G29" s="2916">
        <v>100</v>
      </c>
      <c r="H29" s="2916">
        <v>100</v>
      </c>
      <c r="I29" s="3053">
        <v>100</v>
      </c>
      <c r="J29" s="2322">
        <v>100</v>
      </c>
      <c r="K29" s="2058"/>
      <c r="L29" s="1362"/>
      <c r="M29" s="534"/>
      <c r="N29" s="534"/>
      <c r="O29" s="534"/>
      <c r="P29" s="561"/>
      <c r="Q29" s="562"/>
    </row>
    <row r="30" spans="1:19" s="20" customFormat="1" x14ac:dyDescent="0.2">
      <c r="A30" s="551">
        <v>634</v>
      </c>
      <c r="B30" s="552"/>
      <c r="C30" s="1148" t="s">
        <v>470</v>
      </c>
      <c r="D30" s="1381">
        <f>SUM(D31:D36)</f>
        <v>14402</v>
      </c>
      <c r="E30" s="3267">
        <f t="shared" ref="E30:L30" si="2">SUM(E31,E33,E34,E35,E36,E32)</f>
        <v>16403</v>
      </c>
      <c r="F30" s="2162">
        <f t="shared" si="2"/>
        <v>12801</v>
      </c>
      <c r="G30" s="1793">
        <f t="shared" si="2"/>
        <v>12850</v>
      </c>
      <c r="H30" s="2924">
        <f t="shared" si="2"/>
        <v>12850</v>
      </c>
      <c r="I30" s="3054">
        <f>SUM(I31,I33,I34,I35,I36,I32)</f>
        <v>11100</v>
      </c>
      <c r="J30" s="2446">
        <f>SUM(J31,J33,J34,J35,J36,J32)</f>
        <v>14100</v>
      </c>
      <c r="K30" s="1382">
        <f t="shared" si="2"/>
        <v>14850</v>
      </c>
      <c r="L30" s="1383">
        <f t="shared" si="2"/>
        <v>15850</v>
      </c>
      <c r="M30" s="563"/>
      <c r="N30" s="563"/>
      <c r="O30" s="563"/>
      <c r="P30" s="564"/>
      <c r="Q30" s="564"/>
    </row>
    <row r="31" spans="1:19" x14ac:dyDescent="0.2">
      <c r="A31" s="565">
        <v>634</v>
      </c>
      <c r="B31" s="566" t="s">
        <v>94</v>
      </c>
      <c r="C31" s="1151" t="s">
        <v>471</v>
      </c>
      <c r="D31" s="1835">
        <v>7500</v>
      </c>
      <c r="E31" s="1433">
        <v>8091</v>
      </c>
      <c r="F31" s="1433">
        <v>5597</v>
      </c>
      <c r="G31" s="2853">
        <v>7000</v>
      </c>
      <c r="H31" s="2853">
        <v>7000</v>
      </c>
      <c r="I31" s="3048">
        <v>7000</v>
      </c>
      <c r="J31" s="2322">
        <v>8500</v>
      </c>
      <c r="K31" s="2058">
        <v>9000</v>
      </c>
      <c r="L31" s="1385">
        <v>10000</v>
      </c>
      <c r="M31" s="111"/>
      <c r="N31" s="111"/>
      <c r="O31" s="111"/>
      <c r="P31" s="65"/>
      <c r="Q31" s="73"/>
    </row>
    <row r="32" spans="1:19" s="559" customFormat="1" x14ac:dyDescent="0.2">
      <c r="A32" s="567">
        <v>634</v>
      </c>
      <c r="B32" s="568" t="s">
        <v>94</v>
      </c>
      <c r="C32" s="1152" t="s">
        <v>472</v>
      </c>
      <c r="D32" s="1858">
        <v>0</v>
      </c>
      <c r="E32" s="1844">
        <v>0</v>
      </c>
      <c r="F32" s="1844">
        <v>0</v>
      </c>
      <c r="G32" s="2893">
        <v>0</v>
      </c>
      <c r="H32" s="2893">
        <v>0</v>
      </c>
      <c r="I32" s="3047">
        <v>0</v>
      </c>
      <c r="J32" s="2322">
        <v>0</v>
      </c>
      <c r="K32" s="2058">
        <v>0</v>
      </c>
      <c r="L32" s="1403">
        <v>0</v>
      </c>
      <c r="M32" s="534"/>
      <c r="N32" s="534"/>
      <c r="O32" s="534"/>
      <c r="P32" s="561"/>
      <c r="Q32" s="562"/>
    </row>
    <row r="33" spans="1:17" x14ac:dyDescent="0.2">
      <c r="A33" s="42">
        <v>634</v>
      </c>
      <c r="B33" s="43" t="s">
        <v>97</v>
      </c>
      <c r="C33" s="1143" t="s">
        <v>473</v>
      </c>
      <c r="D33" s="1835">
        <v>4200</v>
      </c>
      <c r="E33" s="1433">
        <v>6213</v>
      </c>
      <c r="F33" s="1433">
        <v>5929</v>
      </c>
      <c r="G33" s="2853">
        <v>3000</v>
      </c>
      <c r="H33" s="2853">
        <v>3000</v>
      </c>
      <c r="I33" s="3048">
        <v>3000</v>
      </c>
      <c r="J33" s="2322">
        <v>3000</v>
      </c>
      <c r="K33" s="2058">
        <v>3000</v>
      </c>
      <c r="L33" s="1385">
        <v>3000</v>
      </c>
      <c r="M33" s="111"/>
      <c r="N33" s="111"/>
      <c r="O33" s="111"/>
      <c r="P33" s="65"/>
      <c r="Q33" s="73"/>
    </row>
    <row r="34" spans="1:17" x14ac:dyDescent="0.2">
      <c r="A34" s="42">
        <v>634</v>
      </c>
      <c r="B34" s="43" t="s">
        <v>92</v>
      </c>
      <c r="C34" s="1143" t="s">
        <v>474</v>
      </c>
      <c r="D34" s="1835">
        <v>852</v>
      </c>
      <c r="E34" s="1433">
        <v>852</v>
      </c>
      <c r="F34" s="1433">
        <v>852</v>
      </c>
      <c r="G34" s="2853">
        <v>1000</v>
      </c>
      <c r="H34" s="2853">
        <v>1000</v>
      </c>
      <c r="I34" s="3048">
        <v>1000</v>
      </c>
      <c r="J34" s="2322">
        <v>1000</v>
      </c>
      <c r="K34" s="2058">
        <v>1000</v>
      </c>
      <c r="L34" s="1385">
        <v>1000</v>
      </c>
      <c r="M34" s="111"/>
      <c r="N34" s="111"/>
      <c r="O34" s="111"/>
      <c r="P34" s="65"/>
      <c r="Q34" s="73"/>
    </row>
    <row r="35" spans="1:17" x14ac:dyDescent="0.2">
      <c r="A35" s="42">
        <v>634</v>
      </c>
      <c r="B35" s="43" t="s">
        <v>111</v>
      </c>
      <c r="C35" s="1143" t="s">
        <v>475</v>
      </c>
      <c r="D35" s="1835">
        <v>1500</v>
      </c>
      <c r="E35" s="1433">
        <v>964</v>
      </c>
      <c r="F35" s="1433">
        <v>257</v>
      </c>
      <c r="G35" s="2853">
        <v>1500</v>
      </c>
      <c r="H35" s="2853">
        <v>1500</v>
      </c>
      <c r="I35" s="3048">
        <v>0</v>
      </c>
      <c r="J35" s="2322">
        <v>1500</v>
      </c>
      <c r="K35" s="2058">
        <v>1500</v>
      </c>
      <c r="L35" s="1385">
        <v>1500</v>
      </c>
      <c r="M35" s="111"/>
      <c r="N35" s="111"/>
      <c r="O35" s="111"/>
      <c r="P35" s="65"/>
      <c r="Q35" s="73"/>
    </row>
    <row r="36" spans="1:17" x14ac:dyDescent="0.2">
      <c r="A36" s="63">
        <v>634</v>
      </c>
      <c r="B36" s="85" t="s">
        <v>120</v>
      </c>
      <c r="C36" s="1150" t="s">
        <v>476</v>
      </c>
      <c r="D36" s="1835">
        <v>350</v>
      </c>
      <c r="E36" s="1433">
        <v>283</v>
      </c>
      <c r="F36" s="1433">
        <v>166</v>
      </c>
      <c r="G36" s="2853">
        <v>350</v>
      </c>
      <c r="H36" s="2853">
        <v>350</v>
      </c>
      <c r="I36" s="3048">
        <v>100</v>
      </c>
      <c r="J36" s="2322">
        <v>100</v>
      </c>
      <c r="K36" s="2058">
        <v>350</v>
      </c>
      <c r="L36" s="1385">
        <v>350</v>
      </c>
      <c r="M36" s="111"/>
      <c r="N36" s="111"/>
      <c r="O36" s="111"/>
      <c r="P36" s="65"/>
      <c r="Q36" s="73"/>
    </row>
    <row r="37" spans="1:17" s="20" customFormat="1" x14ac:dyDescent="0.2">
      <c r="A37" s="569">
        <v>635</v>
      </c>
      <c r="B37" s="570"/>
      <c r="C37" s="1153" t="s">
        <v>477</v>
      </c>
      <c r="D37" s="1381">
        <f>SUM(D38:D40)</f>
        <v>3200</v>
      </c>
      <c r="E37" s="3267">
        <f t="shared" ref="E37:K37" si="3">SUM(E38,E39,E40)</f>
        <v>179</v>
      </c>
      <c r="F37" s="2162">
        <f t="shared" si="3"/>
        <v>1032</v>
      </c>
      <c r="G37" s="2924">
        <f t="shared" ref="G37" si="4">SUM(G38,G39,G40)</f>
        <v>2200</v>
      </c>
      <c r="H37" s="2924">
        <f t="shared" si="3"/>
        <v>2200</v>
      </c>
      <c r="I37" s="3054">
        <f t="shared" si="3"/>
        <v>1300</v>
      </c>
      <c r="J37" s="2446">
        <f>SUM(J38,J39,J40)</f>
        <v>5300</v>
      </c>
      <c r="K37" s="1382">
        <f t="shared" si="3"/>
        <v>2200</v>
      </c>
      <c r="L37" s="1383">
        <f>SUM(L38:L40)</f>
        <v>2200</v>
      </c>
      <c r="M37" s="563"/>
      <c r="N37" s="563"/>
      <c r="O37" s="563"/>
      <c r="P37" s="564"/>
      <c r="Q37" s="564"/>
    </row>
    <row r="38" spans="1:17" x14ac:dyDescent="0.2">
      <c r="A38" s="565">
        <v>635</v>
      </c>
      <c r="B38" s="566" t="s">
        <v>97</v>
      </c>
      <c r="C38" s="1151" t="s">
        <v>478</v>
      </c>
      <c r="D38" s="1835">
        <v>200</v>
      </c>
      <c r="E38" s="1433">
        <v>0</v>
      </c>
      <c r="F38" s="1433">
        <v>0</v>
      </c>
      <c r="G38" s="2853">
        <v>200</v>
      </c>
      <c r="H38" s="2853">
        <v>200</v>
      </c>
      <c r="I38" s="3048">
        <v>0</v>
      </c>
      <c r="J38" s="2322">
        <v>0</v>
      </c>
      <c r="K38" s="2058">
        <v>200</v>
      </c>
      <c r="L38" s="1385">
        <v>200</v>
      </c>
      <c r="M38" s="111"/>
      <c r="N38" s="111"/>
      <c r="O38" s="111"/>
      <c r="P38" s="65"/>
      <c r="Q38" s="73"/>
    </row>
    <row r="39" spans="1:17" x14ac:dyDescent="0.2">
      <c r="A39" s="42">
        <v>635</v>
      </c>
      <c r="B39" s="43" t="s">
        <v>111</v>
      </c>
      <c r="C39" s="1143" t="s">
        <v>479</v>
      </c>
      <c r="D39" s="1835">
        <v>500</v>
      </c>
      <c r="E39" s="1433">
        <v>179</v>
      </c>
      <c r="F39" s="1433">
        <v>60</v>
      </c>
      <c r="G39" s="2853">
        <v>1000</v>
      </c>
      <c r="H39" s="2853">
        <v>1000</v>
      </c>
      <c r="I39" s="3048">
        <v>300</v>
      </c>
      <c r="J39" s="2322">
        <v>300</v>
      </c>
      <c r="K39" s="2058">
        <v>1000</v>
      </c>
      <c r="L39" s="1385">
        <v>1000</v>
      </c>
      <c r="M39" s="111"/>
      <c r="N39" s="111"/>
      <c r="O39" s="111"/>
      <c r="P39" s="65"/>
      <c r="Q39" s="73"/>
    </row>
    <row r="40" spans="1:17" x14ac:dyDescent="0.2">
      <c r="A40" s="63">
        <v>635</v>
      </c>
      <c r="B40" s="85" t="s">
        <v>125</v>
      </c>
      <c r="C40" s="1150" t="s">
        <v>480</v>
      </c>
      <c r="D40" s="1835">
        <v>2500</v>
      </c>
      <c r="E40" s="1433"/>
      <c r="F40" s="1433">
        <v>972</v>
      </c>
      <c r="G40" s="2853">
        <v>1000</v>
      </c>
      <c r="H40" s="2853">
        <v>1000</v>
      </c>
      <c r="I40" s="3048">
        <v>1000</v>
      </c>
      <c r="J40" s="2322">
        <v>5000</v>
      </c>
      <c r="K40" s="2058">
        <v>1000</v>
      </c>
      <c r="L40" s="1385">
        <v>1000</v>
      </c>
      <c r="M40" s="111"/>
      <c r="N40" s="111"/>
      <c r="O40" s="111"/>
      <c r="P40" s="65"/>
      <c r="Q40" s="73"/>
    </row>
    <row r="41" spans="1:17" s="20" customFormat="1" x14ac:dyDescent="0.2">
      <c r="A41" s="569">
        <v>636</v>
      </c>
      <c r="B41" s="570"/>
      <c r="C41" s="1153" t="s">
        <v>481</v>
      </c>
      <c r="D41" s="2161">
        <f>SUM(D42:D44)</f>
        <v>100</v>
      </c>
      <c r="E41" s="3267">
        <f t="shared" ref="E41:L41" si="5">SUM(E42,E43,E44)</f>
        <v>10</v>
      </c>
      <c r="F41" s="2162">
        <f t="shared" si="5"/>
        <v>3482</v>
      </c>
      <c r="G41" s="1793">
        <f t="shared" si="5"/>
        <v>220</v>
      </c>
      <c r="H41" s="2924">
        <f t="shared" si="5"/>
        <v>220</v>
      </c>
      <c r="I41" s="3054">
        <f>SUM(I42,I43,I44)</f>
        <v>2900</v>
      </c>
      <c r="J41" s="2446">
        <f>SUM(J42,J43,J44)</f>
        <v>2200</v>
      </c>
      <c r="K41" s="1382">
        <f t="shared" si="5"/>
        <v>2200</v>
      </c>
      <c r="L41" s="1383">
        <f t="shared" si="5"/>
        <v>2200</v>
      </c>
      <c r="M41" s="563"/>
      <c r="N41" s="563"/>
      <c r="O41" s="563"/>
      <c r="P41" s="564"/>
      <c r="Q41" s="564"/>
    </row>
    <row r="42" spans="1:17" x14ac:dyDescent="0.2">
      <c r="A42" s="565">
        <v>636</v>
      </c>
      <c r="B42" s="566" t="s">
        <v>94</v>
      </c>
      <c r="C42" s="1151" t="s">
        <v>943</v>
      </c>
      <c r="D42" s="1835">
        <v>100</v>
      </c>
      <c r="E42" s="3263">
        <v>10</v>
      </c>
      <c r="F42" s="1433">
        <v>3470</v>
      </c>
      <c r="G42" s="2853">
        <v>20</v>
      </c>
      <c r="H42" s="2853">
        <v>20</v>
      </c>
      <c r="I42" s="3048">
        <v>2700</v>
      </c>
      <c r="J42" s="2322">
        <v>1200</v>
      </c>
      <c r="K42" s="2058">
        <v>1200</v>
      </c>
      <c r="L42" s="1385">
        <v>1200</v>
      </c>
      <c r="M42" s="111"/>
      <c r="N42" s="111"/>
      <c r="O42" s="111"/>
      <c r="P42" s="65"/>
      <c r="Q42" s="73"/>
    </row>
    <row r="43" spans="1:17" x14ac:dyDescent="0.2">
      <c r="A43" s="571">
        <v>636</v>
      </c>
      <c r="B43" s="53" t="s">
        <v>97</v>
      </c>
      <c r="C43" s="1154" t="s">
        <v>479</v>
      </c>
      <c r="D43" s="1835">
        <v>0</v>
      </c>
      <c r="E43" s="3263">
        <v>0</v>
      </c>
      <c r="F43" s="1433">
        <v>12</v>
      </c>
      <c r="G43" s="2853">
        <v>200</v>
      </c>
      <c r="H43" s="2853">
        <v>200</v>
      </c>
      <c r="I43" s="3048">
        <v>200</v>
      </c>
      <c r="J43" s="2322">
        <v>1000</v>
      </c>
      <c r="K43" s="2058">
        <v>1000</v>
      </c>
      <c r="L43" s="1385">
        <v>1000</v>
      </c>
      <c r="M43" s="111"/>
      <c r="N43" s="111"/>
      <c r="O43" s="111"/>
      <c r="P43" s="65"/>
      <c r="Q43" s="73"/>
    </row>
    <row r="44" spans="1:17" x14ac:dyDescent="0.2">
      <c r="A44" s="42">
        <v>636</v>
      </c>
      <c r="B44" s="43" t="s">
        <v>111</v>
      </c>
      <c r="C44" s="1143" t="s">
        <v>482</v>
      </c>
      <c r="D44" s="1835">
        <v>0</v>
      </c>
      <c r="E44" s="3263">
        <v>0</v>
      </c>
      <c r="F44" s="1433">
        <v>0</v>
      </c>
      <c r="G44" s="2853">
        <v>0</v>
      </c>
      <c r="H44" s="2853">
        <v>0</v>
      </c>
      <c r="I44" s="3048">
        <v>0</v>
      </c>
      <c r="J44" s="2322">
        <v>0</v>
      </c>
      <c r="K44" s="2058">
        <v>0</v>
      </c>
      <c r="L44" s="1385">
        <v>0</v>
      </c>
      <c r="M44" s="111"/>
      <c r="N44" s="111"/>
      <c r="O44" s="111"/>
      <c r="P44" s="65"/>
      <c r="Q44" s="73"/>
    </row>
    <row r="45" spans="1:17" hidden="1" x14ac:dyDescent="0.2">
      <c r="A45" s="571"/>
      <c r="B45" s="53"/>
      <c r="C45" s="1154"/>
      <c r="D45" s="1835"/>
      <c r="E45" s="3263"/>
      <c r="F45" s="1433"/>
      <c r="G45" s="1791"/>
      <c r="H45" s="2853"/>
      <c r="I45" s="3048"/>
      <c r="J45" s="2322"/>
      <c r="K45" s="1384"/>
      <c r="L45" s="1385"/>
      <c r="M45" s="111"/>
      <c r="N45" s="65"/>
      <c r="O45" s="111"/>
      <c r="P45" s="65"/>
      <c r="Q45" s="65"/>
    </row>
    <row r="46" spans="1:17" hidden="1" x14ac:dyDescent="0.2">
      <c r="A46" s="571"/>
      <c r="B46" s="53"/>
      <c r="C46" s="1154"/>
      <c r="D46" s="1835"/>
      <c r="E46" s="3263"/>
      <c r="F46" s="1433"/>
      <c r="G46" s="1791"/>
      <c r="H46" s="2853"/>
      <c r="I46" s="3048"/>
      <c r="J46" s="2322"/>
      <c r="K46" s="1384"/>
      <c r="L46" s="1385"/>
      <c r="M46" s="111"/>
      <c r="N46" s="65"/>
      <c r="O46" s="111"/>
      <c r="P46" s="65"/>
      <c r="Q46" s="65"/>
    </row>
    <row r="47" spans="1:17" hidden="1" x14ac:dyDescent="0.2">
      <c r="A47" s="571"/>
      <c r="B47" s="53"/>
      <c r="C47" s="1154"/>
      <c r="D47" s="1523"/>
      <c r="E47" s="3268"/>
      <c r="F47" s="2168"/>
      <c r="G47" s="1794"/>
      <c r="H47" s="2975"/>
      <c r="I47" s="3055"/>
      <c r="J47" s="2322"/>
      <c r="K47" s="1386"/>
      <c r="L47" s="1387"/>
      <c r="M47" s="21"/>
      <c r="O47" s="21"/>
    </row>
    <row r="48" spans="1:17" hidden="1" x14ac:dyDescent="0.2">
      <c r="A48" s="571"/>
      <c r="B48" s="53"/>
      <c r="C48" s="1154"/>
      <c r="D48" s="1523"/>
      <c r="E48" s="3268"/>
      <c r="F48" s="2168"/>
      <c r="G48" s="1794"/>
      <c r="H48" s="2975"/>
      <c r="I48" s="3055"/>
      <c r="J48" s="2322"/>
      <c r="K48" s="1386"/>
      <c r="L48" s="1387"/>
      <c r="M48" s="21"/>
      <c r="O48" s="21"/>
    </row>
    <row r="49" spans="1:17" s="20" customFormat="1" x14ac:dyDescent="0.2">
      <c r="A49" s="569">
        <v>637</v>
      </c>
      <c r="B49" s="570"/>
      <c r="C49" s="1153" t="s">
        <v>483</v>
      </c>
      <c r="D49" s="3257">
        <f>D50+D51+D52+D53+D55+D56+D57+D58+D60+D61+D62+D63+D64+D65+D68+D69+D59</f>
        <v>56803</v>
      </c>
      <c r="E49" s="3267">
        <f>E50+E51+E52+E53+E58+E60+E61+E62+E63+E64+E65+E66+E68+E69+E55+E57+E56+E59</f>
        <v>43068</v>
      </c>
      <c r="F49" s="2162">
        <f>F50+F51+F52+F53+F55+F56+F57+F58+F60+F62+F63+F64+F65+F69</f>
        <v>37258</v>
      </c>
      <c r="G49" s="1793">
        <f>G50+G51+G52+G53+G58+G60+G61+G62+G63+G64+G65+G66+G68+G69+G55+G57+G56+G59</f>
        <v>44500</v>
      </c>
      <c r="H49" s="2924">
        <f>H50+H51+H52+H53+H55+H56+H57+H58+H59+H60+H61+H62+H63+H64+H65+H67+H68+H69</f>
        <v>74798</v>
      </c>
      <c r="I49" s="3054">
        <f>I50+I51+I52+I53+I55+I56+I57+I58+I60+I62+I63+I64+I65+I69+I68+I59</f>
        <v>75865</v>
      </c>
      <c r="J49" s="2446">
        <f>J50+J51+J52+J53+J55+J56+J57+J58+J60+J62+J63+J64+J65+J69+J68+J59</f>
        <v>72960</v>
      </c>
      <c r="K49" s="1382">
        <f>K50+K51+K52+K53+K55+K56+K57+K58+K60+K62+K63+K65</f>
        <v>54410</v>
      </c>
      <c r="L49" s="1383">
        <f>L50+L51+L52+L53+L55+L56+L57+L58+L60+L62+L63+L65</f>
        <v>55410</v>
      </c>
      <c r="M49" s="563"/>
      <c r="N49" s="563"/>
      <c r="O49" s="563"/>
      <c r="P49" s="564"/>
      <c r="Q49" s="564"/>
    </row>
    <row r="50" spans="1:17" x14ac:dyDescent="0.2">
      <c r="A50" s="565">
        <v>637</v>
      </c>
      <c r="B50" s="566" t="s">
        <v>94</v>
      </c>
      <c r="C50" s="1151" t="s">
        <v>484</v>
      </c>
      <c r="D50" s="1835">
        <v>300</v>
      </c>
      <c r="E50" s="3263">
        <v>641</v>
      </c>
      <c r="F50" s="1433">
        <v>180</v>
      </c>
      <c r="G50" s="1791">
        <v>300</v>
      </c>
      <c r="H50" s="3016">
        <v>300</v>
      </c>
      <c r="I50" s="2322">
        <v>300</v>
      </c>
      <c r="J50" s="2322">
        <v>300</v>
      </c>
      <c r="K50" s="2058">
        <v>300</v>
      </c>
      <c r="L50" s="1385">
        <v>300</v>
      </c>
      <c r="M50" s="111"/>
      <c r="N50" s="111"/>
      <c r="O50" s="111"/>
      <c r="P50" s="65"/>
      <c r="Q50" s="65"/>
    </row>
    <row r="51" spans="1:17" x14ac:dyDescent="0.2">
      <c r="A51" s="42">
        <v>637</v>
      </c>
      <c r="B51" s="43" t="s">
        <v>485</v>
      </c>
      <c r="C51" s="1143" t="s">
        <v>486</v>
      </c>
      <c r="D51" s="1835">
        <v>100</v>
      </c>
      <c r="E51" s="3263">
        <v>800</v>
      </c>
      <c r="F51" s="1433">
        <v>436</v>
      </c>
      <c r="G51" s="1791">
        <v>100</v>
      </c>
      <c r="H51" s="3016">
        <v>100</v>
      </c>
      <c r="I51" s="2322">
        <v>200</v>
      </c>
      <c r="J51" s="2322">
        <v>200</v>
      </c>
      <c r="K51" s="2058">
        <v>100</v>
      </c>
      <c r="L51" s="1385">
        <v>100</v>
      </c>
      <c r="M51" s="111"/>
      <c r="N51" s="111"/>
      <c r="O51" s="111"/>
      <c r="P51" s="65"/>
      <c r="Q51" s="65"/>
    </row>
    <row r="52" spans="1:17" x14ac:dyDescent="0.2">
      <c r="A52" s="42">
        <v>637</v>
      </c>
      <c r="B52" s="43" t="s">
        <v>92</v>
      </c>
      <c r="C52" s="1143" t="s">
        <v>852</v>
      </c>
      <c r="D52" s="1835">
        <v>1000</v>
      </c>
      <c r="E52" s="3263">
        <v>1430</v>
      </c>
      <c r="F52" s="1433">
        <v>1863</v>
      </c>
      <c r="G52" s="1791">
        <v>1000</v>
      </c>
      <c r="H52" s="3016">
        <v>1000</v>
      </c>
      <c r="I52" s="2322">
        <v>2200</v>
      </c>
      <c r="J52" s="2322">
        <v>2200</v>
      </c>
      <c r="K52" s="2058">
        <v>2200</v>
      </c>
      <c r="L52" s="1385">
        <v>2200</v>
      </c>
      <c r="M52" s="111"/>
      <c r="N52" s="111"/>
      <c r="O52" s="111"/>
      <c r="P52" s="65"/>
      <c r="Q52" s="65"/>
    </row>
    <row r="53" spans="1:17" x14ac:dyDescent="0.2">
      <c r="A53" s="1066">
        <v>637</v>
      </c>
      <c r="B53" s="1067" t="s">
        <v>111</v>
      </c>
      <c r="C53" s="1155" t="s">
        <v>487</v>
      </c>
      <c r="D53" s="1835">
        <v>12000</v>
      </c>
      <c r="E53" s="3269">
        <v>14006</v>
      </c>
      <c r="F53" s="1433">
        <v>6646</v>
      </c>
      <c r="G53" s="1795">
        <v>12000</v>
      </c>
      <c r="H53" s="3036">
        <v>12000</v>
      </c>
      <c r="I53" s="2322">
        <v>8000</v>
      </c>
      <c r="J53" s="2322">
        <v>12000</v>
      </c>
      <c r="K53" s="2060">
        <v>15000</v>
      </c>
      <c r="L53" s="1388">
        <v>15000</v>
      </c>
      <c r="M53" s="111"/>
      <c r="N53" s="111"/>
      <c r="O53" s="111"/>
      <c r="P53" s="65"/>
      <c r="Q53" s="65"/>
    </row>
    <row r="54" spans="1:17" hidden="1" x14ac:dyDescent="0.2">
      <c r="A54" s="1087"/>
      <c r="B54" s="1088"/>
      <c r="C54" s="1156"/>
      <c r="D54" s="1555"/>
      <c r="E54" s="3270"/>
      <c r="F54" s="1845"/>
      <c r="G54" s="1796"/>
      <c r="H54" s="2616"/>
      <c r="I54" s="2322"/>
      <c r="J54" s="2322"/>
      <c r="K54" s="2061"/>
      <c r="L54" s="1389"/>
      <c r="M54" s="111"/>
      <c r="N54" s="111"/>
      <c r="O54" s="111"/>
      <c r="P54" s="65"/>
      <c r="Q54" s="65"/>
    </row>
    <row r="55" spans="1:17" x14ac:dyDescent="0.2">
      <c r="A55" s="42">
        <v>637</v>
      </c>
      <c r="B55" s="43" t="s">
        <v>111</v>
      </c>
      <c r="C55" s="1143" t="s">
        <v>652</v>
      </c>
      <c r="D55" s="1835">
        <v>450</v>
      </c>
      <c r="E55" s="3263">
        <v>563</v>
      </c>
      <c r="F55" s="1433">
        <v>1466</v>
      </c>
      <c r="G55" s="1791">
        <v>500</v>
      </c>
      <c r="H55" s="3016">
        <v>500</v>
      </c>
      <c r="I55" s="2322">
        <v>0</v>
      </c>
      <c r="J55" s="2322">
        <v>500</v>
      </c>
      <c r="K55" s="2058">
        <v>500</v>
      </c>
      <c r="L55" s="1385">
        <v>500</v>
      </c>
      <c r="M55" s="111"/>
      <c r="N55" s="48"/>
      <c r="O55" s="111"/>
      <c r="P55" s="572"/>
      <c r="Q55" s="65"/>
    </row>
    <row r="56" spans="1:17" x14ac:dyDescent="0.2">
      <c r="A56" s="42">
        <v>637</v>
      </c>
      <c r="B56" s="43" t="s">
        <v>120</v>
      </c>
      <c r="C56" s="1143" t="s">
        <v>327</v>
      </c>
      <c r="D56" s="1835">
        <v>627</v>
      </c>
      <c r="E56" s="3263">
        <v>950</v>
      </c>
      <c r="F56" s="1433">
        <v>126</v>
      </c>
      <c r="G56" s="1791">
        <v>500</v>
      </c>
      <c r="H56" s="3016">
        <v>500</v>
      </c>
      <c r="I56" s="2322">
        <v>900</v>
      </c>
      <c r="J56" s="2322">
        <v>900</v>
      </c>
      <c r="K56" s="2058">
        <v>1000</v>
      </c>
      <c r="L56" s="1385">
        <v>1000</v>
      </c>
      <c r="M56" s="111"/>
      <c r="N56" s="111"/>
      <c r="O56" s="111"/>
      <c r="P56" s="65"/>
      <c r="Q56" s="65"/>
    </row>
    <row r="57" spans="1:17" x14ac:dyDescent="0.2">
      <c r="A57" s="42">
        <v>637</v>
      </c>
      <c r="B57" s="43" t="s">
        <v>465</v>
      </c>
      <c r="C57" s="1143" t="s">
        <v>653</v>
      </c>
      <c r="D57" s="1835">
        <v>223</v>
      </c>
      <c r="E57" s="3263">
        <v>223</v>
      </c>
      <c r="F57" s="1433">
        <v>223</v>
      </c>
      <c r="G57" s="1791">
        <v>200</v>
      </c>
      <c r="H57" s="3016">
        <v>200</v>
      </c>
      <c r="I57" s="2322">
        <v>200</v>
      </c>
      <c r="J57" s="2322">
        <v>200</v>
      </c>
      <c r="K57" s="2058">
        <v>200</v>
      </c>
      <c r="L57" s="1385">
        <v>200</v>
      </c>
      <c r="M57" s="111"/>
      <c r="N57" s="111"/>
      <c r="O57" s="111"/>
      <c r="P57" s="65"/>
      <c r="Q57" s="65"/>
    </row>
    <row r="58" spans="1:17" x14ac:dyDescent="0.2">
      <c r="A58" s="42">
        <v>637</v>
      </c>
      <c r="B58" s="43" t="s">
        <v>102</v>
      </c>
      <c r="C58" s="1143" t="s">
        <v>488</v>
      </c>
      <c r="D58" s="1835">
        <v>2577</v>
      </c>
      <c r="E58" s="3263">
        <v>2442</v>
      </c>
      <c r="F58" s="1433">
        <v>2851</v>
      </c>
      <c r="G58" s="1791">
        <v>3000</v>
      </c>
      <c r="H58" s="3016">
        <v>3000</v>
      </c>
      <c r="I58" s="2322">
        <v>3000</v>
      </c>
      <c r="J58" s="2322">
        <v>3000</v>
      </c>
      <c r="K58" s="2058">
        <v>3000</v>
      </c>
      <c r="L58" s="1385">
        <v>3000</v>
      </c>
      <c r="M58" s="111"/>
      <c r="N58" s="111"/>
      <c r="O58" s="111"/>
      <c r="P58" s="65"/>
      <c r="Q58" s="65"/>
    </row>
    <row r="59" spans="1:17" x14ac:dyDescent="0.2">
      <c r="A59" s="565">
        <v>637</v>
      </c>
      <c r="B59" s="566" t="s">
        <v>102</v>
      </c>
      <c r="C59" s="1151" t="s">
        <v>770</v>
      </c>
      <c r="D59" s="1835">
        <v>3326</v>
      </c>
      <c r="E59" s="3263">
        <v>308</v>
      </c>
      <c r="F59" s="1433">
        <v>760</v>
      </c>
      <c r="G59" s="1791">
        <v>0</v>
      </c>
      <c r="H59" s="3016">
        <v>375</v>
      </c>
      <c r="I59" s="2322">
        <v>375</v>
      </c>
      <c r="J59" s="2322">
        <v>375</v>
      </c>
      <c r="K59" s="2058">
        <v>0</v>
      </c>
      <c r="L59" s="1385">
        <v>0</v>
      </c>
      <c r="M59" s="111"/>
      <c r="N59" s="111"/>
      <c r="O59" s="111"/>
      <c r="P59" s="65"/>
      <c r="Q59" s="65"/>
    </row>
    <row r="60" spans="1:17" x14ac:dyDescent="0.2">
      <c r="A60" s="565">
        <v>637</v>
      </c>
      <c r="B60" s="566" t="s">
        <v>105</v>
      </c>
      <c r="C60" s="1151" t="s">
        <v>489</v>
      </c>
      <c r="D60" s="1835">
        <v>30000</v>
      </c>
      <c r="E60" s="3263">
        <v>17341</v>
      </c>
      <c r="F60" s="1433">
        <v>16467</v>
      </c>
      <c r="G60" s="1791">
        <v>20400</v>
      </c>
      <c r="H60" s="3016">
        <v>20400</v>
      </c>
      <c r="I60" s="2322">
        <v>20400</v>
      </c>
      <c r="J60" s="2322">
        <v>22400</v>
      </c>
      <c r="K60" s="2058">
        <v>23400</v>
      </c>
      <c r="L60" s="1385">
        <v>24400</v>
      </c>
      <c r="M60" s="89"/>
      <c r="O60" s="73"/>
      <c r="P60" s="65"/>
      <c r="Q60" s="65"/>
    </row>
    <row r="61" spans="1:17" s="559" customFormat="1" x14ac:dyDescent="0.2">
      <c r="A61" s="533">
        <v>637</v>
      </c>
      <c r="B61" s="558" t="s">
        <v>105</v>
      </c>
      <c r="C61" s="1157" t="s">
        <v>490</v>
      </c>
      <c r="D61" s="3258">
        <v>0</v>
      </c>
      <c r="E61" s="3271">
        <v>0</v>
      </c>
      <c r="F61" s="1846">
        <v>0</v>
      </c>
      <c r="G61" s="1420">
        <v>0</v>
      </c>
      <c r="H61" s="3037">
        <v>0</v>
      </c>
      <c r="I61" s="2322">
        <v>0</v>
      </c>
      <c r="J61" s="2322">
        <v>0</v>
      </c>
      <c r="K61" s="2062">
        <v>0</v>
      </c>
      <c r="L61" s="1390">
        <v>0</v>
      </c>
      <c r="M61" s="573"/>
      <c r="N61" s="550"/>
      <c r="O61" s="562"/>
      <c r="P61" s="561"/>
      <c r="Q61" s="561"/>
    </row>
    <row r="62" spans="1:17" x14ac:dyDescent="0.2">
      <c r="A62" s="42">
        <v>637</v>
      </c>
      <c r="B62" s="43" t="s">
        <v>491</v>
      </c>
      <c r="C62" s="1143" t="s">
        <v>492</v>
      </c>
      <c r="D62" s="1835">
        <v>1900</v>
      </c>
      <c r="E62" s="3263">
        <v>1889</v>
      </c>
      <c r="F62" s="1433">
        <v>2695</v>
      </c>
      <c r="G62" s="1791">
        <v>2000</v>
      </c>
      <c r="H62" s="3016">
        <v>2000</v>
      </c>
      <c r="I62" s="2322">
        <v>4260</v>
      </c>
      <c r="J62" s="3138">
        <v>4210</v>
      </c>
      <c r="K62" s="2058">
        <v>4210</v>
      </c>
      <c r="L62" s="1385">
        <v>4210</v>
      </c>
      <c r="M62" s="89"/>
      <c r="O62" s="73"/>
      <c r="P62" s="65"/>
      <c r="Q62" s="65"/>
    </row>
    <row r="63" spans="1:17" x14ac:dyDescent="0.2">
      <c r="A63" s="42">
        <v>637</v>
      </c>
      <c r="B63" s="43" t="s">
        <v>468</v>
      </c>
      <c r="C63" s="1143" t="s">
        <v>493</v>
      </c>
      <c r="D63" s="1835">
        <v>3000</v>
      </c>
      <c r="E63" s="3263">
        <v>1691</v>
      </c>
      <c r="F63" s="1433">
        <v>4289</v>
      </c>
      <c r="G63" s="1791">
        <v>4000</v>
      </c>
      <c r="H63" s="3016">
        <v>4000</v>
      </c>
      <c r="I63" s="2322">
        <v>4000</v>
      </c>
      <c r="J63" s="2322">
        <v>4000</v>
      </c>
      <c r="K63" s="2058">
        <v>4000</v>
      </c>
      <c r="L63" s="1385">
        <v>4000</v>
      </c>
      <c r="M63" s="574"/>
      <c r="O63" s="73"/>
      <c r="P63" s="65"/>
      <c r="Q63" s="65"/>
    </row>
    <row r="64" spans="1:17" x14ac:dyDescent="0.2">
      <c r="A64" s="42">
        <v>637</v>
      </c>
      <c r="B64" s="43" t="s">
        <v>494</v>
      </c>
      <c r="C64" s="1143" t="s">
        <v>853</v>
      </c>
      <c r="D64" s="1835">
        <v>600</v>
      </c>
      <c r="E64" s="3263">
        <v>345</v>
      </c>
      <c r="F64" s="1433">
        <v>0</v>
      </c>
      <c r="G64" s="1791">
        <v>0</v>
      </c>
      <c r="H64" s="3016">
        <v>20683</v>
      </c>
      <c r="I64" s="2322">
        <v>20683</v>
      </c>
      <c r="J64" s="3138">
        <v>22175</v>
      </c>
      <c r="K64" s="2058">
        <v>0</v>
      </c>
      <c r="L64" s="1385">
        <v>0</v>
      </c>
      <c r="M64" s="574"/>
      <c r="O64" s="73"/>
      <c r="P64" s="65"/>
      <c r="Q64" s="65"/>
    </row>
    <row r="65" spans="1:256" x14ac:dyDescent="0.2">
      <c r="A65" s="42">
        <v>637</v>
      </c>
      <c r="B65" s="43" t="s">
        <v>102</v>
      </c>
      <c r="C65" s="1143" t="s">
        <v>495</v>
      </c>
      <c r="D65" s="1835">
        <v>700</v>
      </c>
      <c r="E65" s="3263">
        <v>279</v>
      </c>
      <c r="F65" s="1433">
        <v>16</v>
      </c>
      <c r="G65" s="1791">
        <v>500</v>
      </c>
      <c r="H65" s="3016">
        <v>500</v>
      </c>
      <c r="I65" s="2322">
        <v>500</v>
      </c>
      <c r="J65" s="2322">
        <v>500</v>
      </c>
      <c r="K65" s="2058">
        <v>500</v>
      </c>
      <c r="L65" s="1385">
        <v>500</v>
      </c>
      <c r="M65" s="89"/>
      <c r="O65" s="65"/>
      <c r="P65" s="65"/>
      <c r="Q65" s="65"/>
    </row>
    <row r="66" spans="1:256" hidden="1" x14ac:dyDescent="0.2">
      <c r="A66" s="575"/>
      <c r="B66" s="148"/>
      <c r="C66" s="1158"/>
      <c r="D66" s="3259"/>
      <c r="E66" s="3272"/>
      <c r="F66" s="2251" t="e">
        <f>[1]výdavky!B30</f>
        <v>#REF!</v>
      </c>
      <c r="G66" s="1797"/>
      <c r="H66" s="3038">
        <f>[1]výdavky!D30</f>
        <v>13924.939999999999</v>
      </c>
      <c r="I66" s="2322">
        <f>[1]výdavky!E30</f>
        <v>14402</v>
      </c>
      <c r="J66" s="2322">
        <f>[1]výdavky!F30</f>
        <v>12650</v>
      </c>
      <c r="K66" s="2063">
        <f>[1]výdavky!E30</f>
        <v>14402</v>
      </c>
      <c r="L66" s="1391">
        <f>[1]výdavky!F30</f>
        <v>12650</v>
      </c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x14ac:dyDescent="0.2">
      <c r="A67" s="1077">
        <v>637</v>
      </c>
      <c r="B67" s="269" t="s">
        <v>855</v>
      </c>
      <c r="C67" s="2150" t="s">
        <v>854</v>
      </c>
      <c r="D67" s="1339"/>
      <c r="E67" s="3273">
        <v>2000</v>
      </c>
      <c r="F67" s="2252"/>
      <c r="G67" s="1162">
        <v>0</v>
      </c>
      <c r="H67" s="1076"/>
      <c r="I67" s="2322"/>
      <c r="J67" s="2322"/>
      <c r="K67" s="2063"/>
      <c r="L67" s="364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s="559" customFormat="1" x14ac:dyDescent="0.2">
      <c r="A68" s="576">
        <v>637</v>
      </c>
      <c r="B68" s="577" t="s">
        <v>496</v>
      </c>
      <c r="C68" s="1159" t="s">
        <v>880</v>
      </c>
      <c r="D68" s="1859">
        <v>0</v>
      </c>
      <c r="E68" s="3274">
        <v>0</v>
      </c>
      <c r="F68" s="1846">
        <v>0</v>
      </c>
      <c r="G68" s="1798">
        <v>0</v>
      </c>
      <c r="H68" s="3037">
        <v>9240</v>
      </c>
      <c r="I68" s="3151">
        <v>10847</v>
      </c>
      <c r="J68" s="2445">
        <v>0</v>
      </c>
      <c r="K68" s="2058">
        <v>0</v>
      </c>
      <c r="L68" s="1392">
        <v>0</v>
      </c>
      <c r="M68" s="573"/>
      <c r="N68" s="550"/>
      <c r="O68" s="561"/>
      <c r="P68" s="528"/>
      <c r="Q68" s="561"/>
    </row>
    <row r="69" spans="1:256" s="559" customFormat="1" x14ac:dyDescent="0.2">
      <c r="A69" s="63">
        <v>637</v>
      </c>
      <c r="B69" s="85" t="s">
        <v>496</v>
      </c>
      <c r="C69" s="1150" t="s">
        <v>257</v>
      </c>
      <c r="D69" s="1829">
        <v>0</v>
      </c>
      <c r="E69" s="1451">
        <v>160</v>
      </c>
      <c r="F69" s="1638">
        <v>0</v>
      </c>
      <c r="G69" s="1601">
        <v>0</v>
      </c>
      <c r="H69" s="3019">
        <v>0</v>
      </c>
      <c r="I69" s="2322">
        <v>0</v>
      </c>
      <c r="J69" s="2322">
        <v>0</v>
      </c>
      <c r="K69" s="2058">
        <v>0</v>
      </c>
      <c r="L69" s="1393">
        <v>0</v>
      </c>
      <c r="M69" s="573"/>
      <c r="N69" s="550"/>
      <c r="O69" s="561"/>
      <c r="P69" s="528"/>
      <c r="Q69" s="561"/>
    </row>
    <row r="70" spans="1:256" s="579" customFormat="1" x14ac:dyDescent="0.2">
      <c r="A70" s="578">
        <v>640</v>
      </c>
      <c r="B70" s="570"/>
      <c r="C70" s="1153" t="s">
        <v>497</v>
      </c>
      <c r="D70" s="2159">
        <f>SUM(D72:D79)</f>
        <v>13657</v>
      </c>
      <c r="E70" s="3266">
        <f t="shared" ref="E70:L70" si="6">SUM(E71:E76)</f>
        <v>13030</v>
      </c>
      <c r="F70" s="2167">
        <f t="shared" si="6"/>
        <v>4518</v>
      </c>
      <c r="G70" s="1792">
        <f t="shared" si="6"/>
        <v>5800</v>
      </c>
      <c r="H70" s="2974">
        <f t="shared" si="6"/>
        <v>5800</v>
      </c>
      <c r="I70" s="3051">
        <f>SUM(I71:I76)</f>
        <v>5800</v>
      </c>
      <c r="J70" s="2446">
        <f>SUM(J71:J76)</f>
        <v>5800</v>
      </c>
      <c r="K70" s="1394">
        <f t="shared" si="6"/>
        <v>5800</v>
      </c>
      <c r="L70" s="1395">
        <f t="shared" si="6"/>
        <v>5800</v>
      </c>
      <c r="M70" s="554"/>
      <c r="N70" s="554"/>
      <c r="O70" s="554"/>
      <c r="P70" s="554"/>
      <c r="Q70" s="554"/>
    </row>
    <row r="71" spans="1:256" s="579" customFormat="1" x14ac:dyDescent="0.2">
      <c r="A71" s="1841">
        <v>641</v>
      </c>
      <c r="B71" s="1842" t="s">
        <v>461</v>
      </c>
      <c r="C71" s="1843" t="s">
        <v>760</v>
      </c>
      <c r="D71" s="3260"/>
      <c r="E71" s="1640"/>
      <c r="F71" s="1640"/>
      <c r="G71" s="2163">
        <v>0</v>
      </c>
      <c r="H71" s="2976"/>
      <c r="I71" s="3056"/>
      <c r="J71" s="2322"/>
      <c r="K71" s="2058"/>
      <c r="L71" s="1450"/>
      <c r="M71" s="554"/>
      <c r="N71" s="554"/>
      <c r="O71" s="554"/>
      <c r="P71" s="554"/>
      <c r="Q71" s="554"/>
    </row>
    <row r="72" spans="1:256" s="20" customFormat="1" x14ac:dyDescent="0.2">
      <c r="A72" s="580">
        <v>642</v>
      </c>
      <c r="B72" s="556" t="s">
        <v>94</v>
      </c>
      <c r="C72" s="1136" t="s">
        <v>498</v>
      </c>
      <c r="D72" s="1557"/>
      <c r="E72" s="1528"/>
      <c r="F72" s="1433"/>
      <c r="G72" s="1535">
        <v>0</v>
      </c>
      <c r="H72" s="2853"/>
      <c r="I72" s="3048"/>
      <c r="J72" s="2322"/>
      <c r="K72" s="2058"/>
      <c r="L72" s="1385"/>
      <c r="M72" s="581"/>
      <c r="O72" s="65"/>
      <c r="P72" s="65"/>
      <c r="Q72" s="65"/>
    </row>
    <row r="73" spans="1:256" s="20" customFormat="1" x14ac:dyDescent="0.2">
      <c r="A73" s="582">
        <v>642</v>
      </c>
      <c r="B73" s="65" t="s">
        <v>97</v>
      </c>
      <c r="C73" s="1137" t="s">
        <v>219</v>
      </c>
      <c r="D73" s="1557">
        <v>0</v>
      </c>
      <c r="E73" s="1528">
        <v>3696</v>
      </c>
      <c r="F73" s="1433">
        <v>0</v>
      </c>
      <c r="G73" s="1535">
        <v>0</v>
      </c>
      <c r="H73" s="2853">
        <v>0</v>
      </c>
      <c r="I73" s="3048">
        <v>0</v>
      </c>
      <c r="J73" s="2322">
        <v>0</v>
      </c>
      <c r="K73" s="2058">
        <v>0</v>
      </c>
      <c r="L73" s="1385">
        <v>0</v>
      </c>
      <c r="M73" s="581"/>
      <c r="O73" s="65"/>
      <c r="P73" s="65"/>
      <c r="Q73" s="65"/>
    </row>
    <row r="74" spans="1:256" x14ac:dyDescent="0.2">
      <c r="A74" s="63">
        <v>642</v>
      </c>
      <c r="B74" s="64" t="s">
        <v>125</v>
      </c>
      <c r="C74" s="1135" t="s">
        <v>771</v>
      </c>
      <c r="D74" s="1557">
        <v>10417</v>
      </c>
      <c r="E74" s="1528">
        <v>9334</v>
      </c>
      <c r="F74" s="1433">
        <v>4518</v>
      </c>
      <c r="G74" s="1535">
        <v>5800</v>
      </c>
      <c r="H74" s="2853">
        <v>5800</v>
      </c>
      <c r="I74" s="3048">
        <v>5800</v>
      </c>
      <c r="J74" s="2322">
        <v>5800</v>
      </c>
      <c r="K74" s="2058">
        <v>5800</v>
      </c>
      <c r="L74" s="1385">
        <v>5800</v>
      </c>
      <c r="M74" s="581"/>
      <c r="O74" s="65"/>
      <c r="P74" s="65"/>
      <c r="Q74" s="65"/>
    </row>
    <row r="75" spans="1:256" x14ac:dyDescent="0.2">
      <c r="A75" s="63">
        <v>642</v>
      </c>
      <c r="B75" s="64" t="s">
        <v>105</v>
      </c>
      <c r="C75" s="1135" t="s">
        <v>772</v>
      </c>
      <c r="D75" s="1557">
        <v>100</v>
      </c>
      <c r="E75" s="1528">
        <v>0</v>
      </c>
      <c r="F75" s="1433"/>
      <c r="G75" s="1535">
        <v>0</v>
      </c>
      <c r="H75" s="2853"/>
      <c r="I75" s="3048"/>
      <c r="J75" s="2322"/>
      <c r="K75" s="2058"/>
      <c r="L75" s="1385"/>
      <c r="M75" s="581"/>
      <c r="O75" s="65"/>
      <c r="P75" s="65"/>
      <c r="Q75" s="65"/>
    </row>
    <row r="76" spans="1:256" ht="13.5" thickBot="1" x14ac:dyDescent="0.25">
      <c r="A76" s="63">
        <v>642</v>
      </c>
      <c r="B76" s="64" t="s">
        <v>491</v>
      </c>
      <c r="C76" s="1135" t="s">
        <v>303</v>
      </c>
      <c r="D76" s="3261">
        <v>0</v>
      </c>
      <c r="E76" s="3275">
        <v>0</v>
      </c>
      <c r="F76" s="2562"/>
      <c r="G76" s="2164">
        <v>0</v>
      </c>
      <c r="H76" s="2855"/>
      <c r="I76" s="3057"/>
      <c r="J76" s="2357"/>
      <c r="K76" s="2056"/>
      <c r="L76" s="1401"/>
      <c r="M76" s="581"/>
      <c r="O76" s="65"/>
      <c r="P76" s="65"/>
      <c r="Q76" s="65"/>
    </row>
    <row r="77" spans="1:256" ht="13.5" thickBot="1" x14ac:dyDescent="0.25">
      <c r="A77" s="2628" t="s">
        <v>826</v>
      </c>
      <c r="B77" s="2629"/>
      <c r="C77" s="2630"/>
      <c r="D77" s="3276"/>
      <c r="E77" s="2631">
        <f t="shared" ref="E77:L77" si="7">E78+E79</f>
        <v>12569</v>
      </c>
      <c r="F77" s="2632">
        <f t="shared" si="7"/>
        <v>14989</v>
      </c>
      <c r="G77" s="2633">
        <f t="shared" si="7"/>
        <v>10000</v>
      </c>
      <c r="H77" s="2634">
        <f t="shared" si="7"/>
        <v>10375</v>
      </c>
      <c r="I77" s="2635">
        <f t="shared" si="7"/>
        <v>12400</v>
      </c>
      <c r="J77" s="2371">
        <f>J78+J79</f>
        <v>10000</v>
      </c>
      <c r="K77" s="2636">
        <f t="shared" si="7"/>
        <v>7500</v>
      </c>
      <c r="L77" s="2637">
        <f t="shared" si="7"/>
        <v>6000</v>
      </c>
      <c r="M77" s="581"/>
      <c r="O77" s="65"/>
      <c r="P77" s="65"/>
      <c r="Q77" s="65"/>
    </row>
    <row r="78" spans="1:256" x14ac:dyDescent="0.2">
      <c r="A78" s="565">
        <v>651</v>
      </c>
      <c r="B78" s="556" t="s">
        <v>97</v>
      </c>
      <c r="C78" s="1136" t="s">
        <v>773</v>
      </c>
      <c r="D78" s="2806">
        <v>3020</v>
      </c>
      <c r="E78" s="1849">
        <v>12569</v>
      </c>
      <c r="F78" s="1643">
        <v>14989</v>
      </c>
      <c r="G78" s="2182">
        <v>10000</v>
      </c>
      <c r="H78" s="2852">
        <v>10000</v>
      </c>
      <c r="I78" s="3197">
        <v>11600</v>
      </c>
      <c r="J78" s="3140">
        <v>10000</v>
      </c>
      <c r="K78" s="2362">
        <v>7500</v>
      </c>
      <c r="L78" s="2627">
        <v>6000</v>
      </c>
      <c r="M78" s="581"/>
      <c r="O78" s="73"/>
      <c r="P78" s="65"/>
      <c r="Q78" s="65"/>
    </row>
    <row r="79" spans="1:256" x14ac:dyDescent="0.2">
      <c r="A79" s="35">
        <v>653</v>
      </c>
      <c r="B79" s="36" t="s">
        <v>97</v>
      </c>
      <c r="C79" s="1134" t="s">
        <v>887</v>
      </c>
      <c r="D79" s="3261">
        <v>120</v>
      </c>
      <c r="E79" s="1847">
        <v>0</v>
      </c>
      <c r="F79" s="1433">
        <v>0</v>
      </c>
      <c r="G79" s="2164">
        <v>0</v>
      </c>
      <c r="H79" s="2853">
        <v>375</v>
      </c>
      <c r="I79" s="3048">
        <v>800</v>
      </c>
      <c r="J79" s="2322">
        <v>0</v>
      </c>
      <c r="K79" s="2058">
        <v>0</v>
      </c>
      <c r="L79" s="1385">
        <v>0</v>
      </c>
      <c r="M79" s="581"/>
      <c r="O79" s="65"/>
      <c r="P79" s="65"/>
      <c r="Q79" s="65"/>
    </row>
    <row r="80" spans="1:256" s="17" customFormat="1" x14ac:dyDescent="0.2">
      <c r="A80" s="2623" t="s">
        <v>499</v>
      </c>
      <c r="B80" s="2594"/>
      <c r="C80" s="2594"/>
      <c r="D80" s="3277">
        <f>SUM(D81:D87)</f>
        <v>20186</v>
      </c>
      <c r="E80" s="3278">
        <f>E81+E82+E85+E86+E87+E83</f>
        <v>20838</v>
      </c>
      <c r="F80" s="2224">
        <f>F81+F82+F83+F85+F86+F87</f>
        <v>20376</v>
      </c>
      <c r="G80" s="2624">
        <f>G81+G82+G85+G86+G87+G83</f>
        <v>21560</v>
      </c>
      <c r="H80" s="3040">
        <f>H81+H82+H83+H85+H86+H87</f>
        <v>21560</v>
      </c>
      <c r="I80" s="3041">
        <f>I81+I82+I83+I85+I86+I87</f>
        <v>20560</v>
      </c>
      <c r="J80" s="2619">
        <f>J81+J82+J83+J85+J86+J87</f>
        <v>20800</v>
      </c>
      <c r="K80" s="2625">
        <f>K81+K82+K85+K86+K87+K83</f>
        <v>22100</v>
      </c>
      <c r="L80" s="2626">
        <f>L81+L82+L85+L86+L87+L83</f>
        <v>22500</v>
      </c>
      <c r="M80" s="530"/>
      <c r="N80" s="584"/>
      <c r="O80" s="530"/>
      <c r="P80" s="530"/>
      <c r="Q80" s="530"/>
    </row>
    <row r="81" spans="1:18" x14ac:dyDescent="0.2">
      <c r="A81" s="565">
        <v>610</v>
      </c>
      <c r="B81" s="566"/>
      <c r="C81" s="1108" t="s">
        <v>449</v>
      </c>
      <c r="D81" s="1363">
        <v>7350</v>
      </c>
      <c r="E81" s="3279">
        <v>8310</v>
      </c>
      <c r="F81" s="1638">
        <v>7498</v>
      </c>
      <c r="G81" s="2916">
        <v>8800</v>
      </c>
      <c r="H81" s="2916">
        <v>8800</v>
      </c>
      <c r="I81" s="3053">
        <v>8800</v>
      </c>
      <c r="J81" s="2322">
        <v>9000</v>
      </c>
      <c r="K81" s="2062">
        <v>9200</v>
      </c>
      <c r="L81" s="1359">
        <v>9500</v>
      </c>
      <c r="M81" s="73"/>
      <c r="O81" s="73"/>
      <c r="P81" s="65"/>
      <c r="Q81" s="65"/>
    </row>
    <row r="82" spans="1:18" x14ac:dyDescent="0.2">
      <c r="A82" s="42">
        <v>620</v>
      </c>
      <c r="B82" s="43"/>
      <c r="C82" s="1105" t="s">
        <v>194</v>
      </c>
      <c r="D82" s="1550">
        <v>2890</v>
      </c>
      <c r="E82" s="3279">
        <v>2980</v>
      </c>
      <c r="F82" s="1638">
        <v>3756</v>
      </c>
      <c r="G82" s="2916">
        <v>3160</v>
      </c>
      <c r="H82" s="2916">
        <v>3160</v>
      </c>
      <c r="I82" s="3053">
        <v>3160</v>
      </c>
      <c r="J82" s="2322">
        <v>3200</v>
      </c>
      <c r="K82" s="2062">
        <v>3300</v>
      </c>
      <c r="L82" s="1359">
        <v>3400</v>
      </c>
      <c r="M82" s="73"/>
      <c r="O82" s="73"/>
      <c r="P82" s="65"/>
      <c r="Q82" s="65"/>
    </row>
    <row r="83" spans="1:18" x14ac:dyDescent="0.2">
      <c r="A83" s="42">
        <v>631</v>
      </c>
      <c r="B83" s="43" t="s">
        <v>94</v>
      </c>
      <c r="C83" s="1105" t="s">
        <v>514</v>
      </c>
      <c r="D83" s="1550">
        <v>400</v>
      </c>
      <c r="E83" s="3280">
        <v>0</v>
      </c>
      <c r="F83" s="1638">
        <v>0</v>
      </c>
      <c r="G83" s="2917">
        <v>100</v>
      </c>
      <c r="H83" s="2917">
        <v>100</v>
      </c>
      <c r="I83" s="3059">
        <v>100</v>
      </c>
      <c r="J83" s="2322">
        <v>100</v>
      </c>
      <c r="K83" s="2064">
        <v>100</v>
      </c>
      <c r="L83" s="1397">
        <v>100</v>
      </c>
      <c r="M83" s="73"/>
      <c r="O83" s="73"/>
      <c r="P83" s="65"/>
      <c r="Q83" s="65"/>
    </row>
    <row r="84" spans="1:18" hidden="1" x14ac:dyDescent="0.2">
      <c r="A84" s="885"/>
      <c r="B84" s="886"/>
      <c r="C84" s="1118"/>
      <c r="D84" s="1555"/>
      <c r="E84" s="3281"/>
      <c r="F84" s="1845"/>
      <c r="G84" s="1398"/>
      <c r="H84" s="1398"/>
      <c r="I84" s="3060"/>
      <c r="J84" s="2322"/>
      <c r="K84" s="2065"/>
      <c r="L84" s="1399"/>
      <c r="M84" s="73"/>
      <c r="O84" s="73"/>
      <c r="P84" s="65"/>
      <c r="Q84" s="65"/>
    </row>
    <row r="85" spans="1:18" x14ac:dyDescent="0.2">
      <c r="A85" s="42">
        <v>637</v>
      </c>
      <c r="B85" s="43"/>
      <c r="C85" s="1105" t="s">
        <v>208</v>
      </c>
      <c r="D85" s="1550">
        <v>1246</v>
      </c>
      <c r="E85" s="1475">
        <v>205</v>
      </c>
      <c r="F85" s="1638">
        <v>67</v>
      </c>
      <c r="G85" s="2918">
        <v>500</v>
      </c>
      <c r="H85" s="2918">
        <v>500</v>
      </c>
      <c r="I85" s="3061">
        <v>500</v>
      </c>
      <c r="J85" s="2322">
        <v>500</v>
      </c>
      <c r="K85" s="2063">
        <v>500</v>
      </c>
      <c r="L85" s="1400">
        <v>500</v>
      </c>
      <c r="M85" s="73"/>
      <c r="O85" s="65"/>
      <c r="P85" s="65"/>
      <c r="Q85" s="65"/>
    </row>
    <row r="86" spans="1:18" x14ac:dyDescent="0.2">
      <c r="A86" s="42">
        <v>637</v>
      </c>
      <c r="B86" s="43" t="s">
        <v>500</v>
      </c>
      <c r="C86" s="1112" t="s">
        <v>501</v>
      </c>
      <c r="D86" s="1835">
        <v>3500</v>
      </c>
      <c r="E86" s="3282">
        <v>4343</v>
      </c>
      <c r="F86" s="1433">
        <v>3055</v>
      </c>
      <c r="G86" s="2853">
        <v>3500</v>
      </c>
      <c r="H86" s="2853">
        <v>3500</v>
      </c>
      <c r="I86" s="3048">
        <v>3500</v>
      </c>
      <c r="J86" s="2322">
        <v>3500</v>
      </c>
      <c r="K86" s="2058">
        <v>3500</v>
      </c>
      <c r="L86" s="1385">
        <v>3500</v>
      </c>
      <c r="M86" s="73"/>
      <c r="O86" s="65"/>
      <c r="P86" s="65"/>
      <c r="Q86" s="65"/>
    </row>
    <row r="87" spans="1:18" x14ac:dyDescent="0.2">
      <c r="A87" s="1066">
        <v>637</v>
      </c>
      <c r="B87" s="1067"/>
      <c r="C87" s="1139" t="s">
        <v>502</v>
      </c>
      <c r="D87" s="1550">
        <v>4800</v>
      </c>
      <c r="E87" s="3280">
        <v>5000</v>
      </c>
      <c r="F87" s="1638">
        <v>6000</v>
      </c>
      <c r="G87" s="2917">
        <v>5500</v>
      </c>
      <c r="H87" s="2917">
        <v>5500</v>
      </c>
      <c r="I87" s="3139">
        <v>4500</v>
      </c>
      <c r="J87" s="3138">
        <v>4500</v>
      </c>
      <c r="K87" s="2060">
        <v>5500</v>
      </c>
      <c r="L87" s="1367">
        <v>5500</v>
      </c>
      <c r="M87" s="73"/>
      <c r="O87" s="65"/>
      <c r="P87" s="65"/>
      <c r="Q87" s="65"/>
    </row>
    <row r="88" spans="1:18" ht="13.5" thickBot="1" x14ac:dyDescent="0.25">
      <c r="A88" s="53"/>
      <c r="B88" s="53"/>
      <c r="C88" s="65"/>
      <c r="D88" s="73"/>
      <c r="E88" s="125"/>
      <c r="F88" s="46"/>
      <c r="G88" s="125"/>
      <c r="H88" s="46"/>
      <c r="I88" s="46"/>
      <c r="J88" s="3014"/>
      <c r="K88" s="125"/>
      <c r="L88" s="125"/>
      <c r="M88" s="73"/>
      <c r="O88" s="65"/>
      <c r="P88" s="65"/>
      <c r="Q88" s="65"/>
    </row>
    <row r="89" spans="1:18" s="17" customFormat="1" ht="13.5" thickBot="1" x14ac:dyDescent="0.25">
      <c r="A89" s="2409" t="s">
        <v>805</v>
      </c>
      <c r="B89" s="2596"/>
      <c r="C89" s="2596"/>
      <c r="D89" s="2545">
        <f>D90+D92+D94+D95+D99+D101</f>
        <v>15046</v>
      </c>
      <c r="E89" s="2411">
        <f t="shared" ref="E89:L89" si="8">E90+E92+E94+E95+E98+E99+E101</f>
        <v>16613</v>
      </c>
      <c r="F89" s="2411">
        <f t="shared" si="8"/>
        <v>18401</v>
      </c>
      <c r="G89" s="2537">
        <f t="shared" si="8"/>
        <v>18140</v>
      </c>
      <c r="H89" s="2620">
        <f t="shared" si="8"/>
        <v>18140</v>
      </c>
      <c r="I89" s="2621">
        <f>I90+I92+I94+I95+I98+I99+I101+I100</f>
        <v>20140</v>
      </c>
      <c r="J89" s="2622">
        <f>J90+J92+J94+J95+J98+J99+J101+J100</f>
        <v>22120</v>
      </c>
      <c r="K89" s="2538">
        <f t="shared" si="8"/>
        <v>19400</v>
      </c>
      <c r="L89" s="2539">
        <f t="shared" si="8"/>
        <v>20120</v>
      </c>
      <c r="M89" s="530"/>
      <c r="N89" s="584"/>
      <c r="O89" s="530"/>
      <c r="P89" s="530"/>
      <c r="Q89" s="530"/>
      <c r="R89" s="528"/>
    </row>
    <row r="90" spans="1:18" s="20" customFormat="1" x14ac:dyDescent="0.2">
      <c r="A90" s="565">
        <v>610</v>
      </c>
      <c r="B90" s="566"/>
      <c r="C90" s="2361" t="s">
        <v>449</v>
      </c>
      <c r="D90" s="1643">
        <v>10856</v>
      </c>
      <c r="E90" s="1854">
        <v>12133</v>
      </c>
      <c r="F90" s="1643">
        <v>14010</v>
      </c>
      <c r="G90" s="2852">
        <v>13400</v>
      </c>
      <c r="H90" s="2852">
        <v>13400</v>
      </c>
      <c r="I90" s="3058">
        <v>13400</v>
      </c>
      <c r="J90" s="2358">
        <v>14000</v>
      </c>
      <c r="K90" s="2082">
        <v>14500</v>
      </c>
      <c r="L90" s="1376">
        <v>15000</v>
      </c>
      <c r="M90" s="574"/>
      <c r="O90" s="73"/>
      <c r="P90" s="65"/>
      <c r="Q90" s="65"/>
    </row>
    <row r="91" spans="1:18" x14ac:dyDescent="0.2">
      <c r="A91" s="533">
        <v>610</v>
      </c>
      <c r="B91" s="558"/>
      <c r="C91" s="1110" t="s">
        <v>654</v>
      </c>
      <c r="D91" s="1844">
        <v>5356</v>
      </c>
      <c r="E91" s="1858">
        <v>5998</v>
      </c>
      <c r="F91" s="1844">
        <v>6506</v>
      </c>
      <c r="G91" s="2893">
        <v>5900</v>
      </c>
      <c r="H91" s="2893">
        <v>5900</v>
      </c>
      <c r="I91" s="3047">
        <v>6538</v>
      </c>
      <c r="J91" s="3043">
        <v>6638</v>
      </c>
      <c r="K91" s="2066">
        <v>6800</v>
      </c>
      <c r="L91" s="1380">
        <v>7200</v>
      </c>
      <c r="M91" s="573"/>
      <c r="O91" s="562"/>
      <c r="P91" s="528"/>
      <c r="Q91" s="561"/>
    </row>
    <row r="92" spans="1:18" x14ac:dyDescent="0.2">
      <c r="A92" s="42">
        <v>620</v>
      </c>
      <c r="B92" s="43"/>
      <c r="C92" s="1105" t="s">
        <v>194</v>
      </c>
      <c r="D92" s="1433">
        <v>3570</v>
      </c>
      <c r="E92" s="1835">
        <v>3933</v>
      </c>
      <c r="F92" s="1433">
        <v>4198</v>
      </c>
      <c r="G92" s="2853">
        <v>4170</v>
      </c>
      <c r="H92" s="2853">
        <v>4170</v>
      </c>
      <c r="I92" s="3048">
        <v>4170</v>
      </c>
      <c r="J92" s="2322">
        <v>4250</v>
      </c>
      <c r="K92" s="2062">
        <v>4330</v>
      </c>
      <c r="L92" s="1374">
        <v>4550</v>
      </c>
      <c r="M92" s="89"/>
      <c r="O92" s="73"/>
      <c r="P92" s="65"/>
      <c r="Q92" s="65"/>
    </row>
    <row r="93" spans="1:18" x14ac:dyDescent="0.2">
      <c r="A93" s="533">
        <v>620</v>
      </c>
      <c r="B93" s="558"/>
      <c r="C93" s="1107" t="s">
        <v>503</v>
      </c>
      <c r="D93" s="1844">
        <v>0</v>
      </c>
      <c r="E93" s="1858">
        <v>0</v>
      </c>
      <c r="F93" s="1844">
        <v>0</v>
      </c>
      <c r="G93" s="2893">
        <v>0</v>
      </c>
      <c r="H93" s="2893">
        <v>0</v>
      </c>
      <c r="I93" s="3047">
        <v>0</v>
      </c>
      <c r="J93" s="2322">
        <v>0</v>
      </c>
      <c r="K93" s="2062">
        <v>0</v>
      </c>
      <c r="L93" s="1380">
        <v>0</v>
      </c>
      <c r="M93" s="573"/>
      <c r="O93" s="562"/>
      <c r="P93" s="528"/>
      <c r="Q93" s="561"/>
      <c r="R93" s="561"/>
    </row>
    <row r="94" spans="1:18" x14ac:dyDescent="0.2">
      <c r="A94" s="35">
        <v>632</v>
      </c>
      <c r="B94" s="43"/>
      <c r="C94" s="1105" t="s">
        <v>198</v>
      </c>
      <c r="D94" s="1433">
        <v>20</v>
      </c>
      <c r="E94" s="1835">
        <v>3</v>
      </c>
      <c r="F94" s="1433">
        <v>4</v>
      </c>
      <c r="G94" s="2853">
        <v>20</v>
      </c>
      <c r="H94" s="2853">
        <v>20</v>
      </c>
      <c r="I94" s="3048">
        <v>20</v>
      </c>
      <c r="J94" s="2322">
        <v>20</v>
      </c>
      <c r="K94" s="2062">
        <v>20</v>
      </c>
      <c r="L94" s="1374">
        <v>20</v>
      </c>
      <c r="M94" s="89"/>
      <c r="O94" s="65"/>
      <c r="P94" s="65"/>
      <c r="Q94" s="65"/>
    </row>
    <row r="95" spans="1:18" x14ac:dyDescent="0.2">
      <c r="A95" s="35">
        <v>633</v>
      </c>
      <c r="B95" s="43"/>
      <c r="C95" s="1105" t="s">
        <v>200</v>
      </c>
      <c r="D95" s="1433">
        <f t="shared" ref="D95:L95" si="9">SUM(D96:D97)</f>
        <v>400</v>
      </c>
      <c r="E95" s="1835">
        <v>449</v>
      </c>
      <c r="F95" s="1433">
        <f>SUM(F96:F97)</f>
        <v>164</v>
      </c>
      <c r="G95" s="2853">
        <f t="shared" si="9"/>
        <v>300</v>
      </c>
      <c r="H95" s="2853">
        <f t="shared" si="9"/>
        <v>300</v>
      </c>
      <c r="I95" s="3048">
        <f t="shared" si="9"/>
        <v>300</v>
      </c>
      <c r="J95" s="2322">
        <f t="shared" si="9"/>
        <v>300</v>
      </c>
      <c r="K95" s="2062">
        <f t="shared" si="9"/>
        <v>300</v>
      </c>
      <c r="L95" s="1374">
        <f t="shared" si="9"/>
        <v>300</v>
      </c>
      <c r="M95" s="89"/>
      <c r="N95" s="65"/>
      <c r="O95" s="65"/>
      <c r="P95" s="65"/>
      <c r="Q95" s="65"/>
    </row>
    <row r="96" spans="1:18" x14ac:dyDescent="0.2">
      <c r="A96" s="35">
        <v>633</v>
      </c>
      <c r="B96" s="43" t="s">
        <v>125</v>
      </c>
      <c r="C96" s="1105" t="s">
        <v>357</v>
      </c>
      <c r="D96" s="1641">
        <v>300</v>
      </c>
      <c r="E96" s="1855">
        <v>349</v>
      </c>
      <c r="F96" s="1641">
        <v>64</v>
      </c>
      <c r="G96" s="2887">
        <v>200</v>
      </c>
      <c r="H96" s="2887">
        <v>200</v>
      </c>
      <c r="I96" s="3052">
        <v>200</v>
      </c>
      <c r="J96" s="2322">
        <v>200</v>
      </c>
      <c r="K96" s="2062">
        <v>200</v>
      </c>
      <c r="L96" s="1360">
        <v>200</v>
      </c>
      <c r="M96" s="581"/>
      <c r="O96" s="65"/>
      <c r="P96" s="65"/>
      <c r="Q96" s="65"/>
    </row>
    <row r="97" spans="1:18" x14ac:dyDescent="0.2">
      <c r="A97" s="35">
        <v>633</v>
      </c>
      <c r="B97" s="43"/>
      <c r="C97" s="1105" t="s">
        <v>504</v>
      </c>
      <c r="D97" s="1641">
        <v>100</v>
      </c>
      <c r="E97" s="2253">
        <v>100</v>
      </c>
      <c r="F97" s="2067">
        <v>100</v>
      </c>
      <c r="G97" s="2913">
        <v>100</v>
      </c>
      <c r="H97" s="2913">
        <v>100</v>
      </c>
      <c r="I97" s="3062">
        <v>100</v>
      </c>
      <c r="J97" s="2322">
        <v>100</v>
      </c>
      <c r="K97" s="2068">
        <v>100</v>
      </c>
      <c r="L97" s="2069">
        <v>100</v>
      </c>
      <c r="M97" s="586"/>
      <c r="O97" s="65"/>
      <c r="P97" s="528"/>
      <c r="Q97" s="65"/>
    </row>
    <row r="98" spans="1:18" x14ac:dyDescent="0.2">
      <c r="A98" s="35">
        <v>635</v>
      </c>
      <c r="B98" s="43"/>
      <c r="C98" s="1105" t="s">
        <v>294</v>
      </c>
      <c r="D98" s="1433">
        <v>0</v>
      </c>
      <c r="E98" s="1835">
        <v>0</v>
      </c>
      <c r="F98" s="1433">
        <v>0</v>
      </c>
      <c r="G98" s="2853">
        <v>0</v>
      </c>
      <c r="H98" s="2853">
        <v>0</v>
      </c>
      <c r="I98" s="3048">
        <v>0</v>
      </c>
      <c r="J98" s="2322">
        <v>0</v>
      </c>
      <c r="K98" s="2062">
        <v>0</v>
      </c>
      <c r="L98" s="1374">
        <v>0</v>
      </c>
      <c r="M98" s="89"/>
      <c r="O98" s="65"/>
      <c r="P98" s="65"/>
      <c r="Q98" s="65"/>
    </row>
    <row r="99" spans="1:18" x14ac:dyDescent="0.2">
      <c r="A99" s="84">
        <v>637</v>
      </c>
      <c r="B99" s="85"/>
      <c r="C99" s="1125" t="s">
        <v>208</v>
      </c>
      <c r="D99" s="1433">
        <v>200</v>
      </c>
      <c r="E99" s="1835">
        <v>95</v>
      </c>
      <c r="F99" s="1433">
        <v>25</v>
      </c>
      <c r="G99" s="2853">
        <v>200</v>
      </c>
      <c r="H99" s="2853">
        <v>200</v>
      </c>
      <c r="I99" s="3048">
        <v>200</v>
      </c>
      <c r="J99" s="2322">
        <v>200</v>
      </c>
      <c r="K99" s="2062">
        <v>200</v>
      </c>
      <c r="L99" s="1374">
        <v>200</v>
      </c>
      <c r="M99" s="89"/>
      <c r="O99" s="65"/>
      <c r="P99" s="65"/>
      <c r="Q99" s="65"/>
    </row>
    <row r="100" spans="1:18" x14ac:dyDescent="0.2">
      <c r="A100" s="84">
        <v>642</v>
      </c>
      <c r="B100" s="85"/>
      <c r="C100" s="1125" t="s">
        <v>910</v>
      </c>
      <c r="D100" s="1433"/>
      <c r="E100" s="1835"/>
      <c r="F100" s="1433"/>
      <c r="G100" s="2914"/>
      <c r="H100" s="2914"/>
      <c r="I100" s="3144">
        <v>2000</v>
      </c>
      <c r="J100" s="2322">
        <v>3300</v>
      </c>
      <c r="K100" s="2062">
        <v>0</v>
      </c>
      <c r="L100" s="1374"/>
      <c r="M100" s="89"/>
      <c r="O100" s="65"/>
      <c r="P100" s="65"/>
      <c r="Q100" s="65"/>
    </row>
    <row r="101" spans="1:18" ht="13.5" thickBot="1" x14ac:dyDescent="0.25">
      <c r="A101" s="84">
        <v>637</v>
      </c>
      <c r="B101" s="64" t="s">
        <v>94</v>
      </c>
      <c r="C101" s="1125" t="s">
        <v>505</v>
      </c>
      <c r="D101" s="2562">
        <v>0</v>
      </c>
      <c r="E101" s="2134">
        <v>0</v>
      </c>
      <c r="F101" s="2562">
        <v>0</v>
      </c>
      <c r="G101" s="2915">
        <v>50</v>
      </c>
      <c r="H101" s="2915">
        <v>50</v>
      </c>
      <c r="I101" s="3064">
        <v>50</v>
      </c>
      <c r="J101" s="2357">
        <v>50</v>
      </c>
      <c r="K101" s="2073">
        <v>50</v>
      </c>
      <c r="L101" s="1370">
        <v>50</v>
      </c>
      <c r="M101" s="581"/>
      <c r="O101" s="65"/>
      <c r="P101" s="65"/>
      <c r="Q101" s="65"/>
    </row>
    <row r="102" spans="1:18" ht="13.5" thickBot="1" x14ac:dyDescent="0.25">
      <c r="A102" s="2396" t="s">
        <v>506</v>
      </c>
      <c r="B102" s="2583"/>
      <c r="C102" s="2590" t="s">
        <v>507</v>
      </c>
      <c r="D102" s="2591">
        <f>D7+D80+D89</f>
        <v>300478</v>
      </c>
      <c r="E102" s="2591">
        <f>SUM(E7,E80,E89)+E77</f>
        <v>307077</v>
      </c>
      <c r="F102" s="2420">
        <f t="shared" ref="F102:L102" si="10">F7+F80+F89+F77</f>
        <v>289814</v>
      </c>
      <c r="G102" s="2420">
        <f t="shared" si="10"/>
        <v>304060</v>
      </c>
      <c r="H102" s="2617">
        <f t="shared" si="10"/>
        <v>334733</v>
      </c>
      <c r="I102" s="2618">
        <f t="shared" si="10"/>
        <v>337255</v>
      </c>
      <c r="J102" s="2510">
        <f>J7+J80+J89+J77</f>
        <v>354280</v>
      </c>
      <c r="K102" s="2567">
        <f t="shared" si="10"/>
        <v>327960</v>
      </c>
      <c r="L102" s="2564">
        <f t="shared" si="10"/>
        <v>329580</v>
      </c>
      <c r="M102" s="90"/>
      <c r="N102" s="39"/>
      <c r="O102" s="90"/>
      <c r="P102" s="90"/>
      <c r="Q102" s="90"/>
      <c r="R102" s="587"/>
    </row>
    <row r="103" spans="1:18" s="20" customFormat="1" hidden="1" x14ac:dyDescent="0.2">
      <c r="A103" s="65"/>
      <c r="B103" s="65"/>
      <c r="C103" s="65"/>
      <c r="D103" s="65"/>
      <c r="E103" s="65"/>
      <c r="F103" s="65"/>
      <c r="G103" s="588"/>
      <c r="H103" s="588"/>
      <c r="I103" s="588"/>
      <c r="J103" s="2313"/>
      <c r="K103" s="588"/>
      <c r="L103" s="47"/>
      <c r="R103" s="16"/>
    </row>
    <row r="104" spans="1:18" s="20" customFormat="1" hidden="1" x14ac:dyDescent="0.2">
      <c r="A104" s="65"/>
      <c r="B104" s="65"/>
      <c r="C104" s="65"/>
      <c r="D104" s="65"/>
      <c r="E104" s="65"/>
      <c r="F104" s="65"/>
      <c r="G104" s="588"/>
      <c r="H104" s="588"/>
      <c r="I104" s="588"/>
      <c r="J104" s="3013"/>
      <c r="K104" s="588"/>
      <c r="L104" s="47"/>
      <c r="R104" s="16"/>
    </row>
    <row r="105" spans="1:18" s="20" customFormat="1" x14ac:dyDescent="0.2">
      <c r="A105" s="65"/>
      <c r="B105" s="65"/>
      <c r="C105" s="65"/>
      <c r="D105" s="65"/>
      <c r="E105" s="65"/>
      <c r="F105" s="65"/>
      <c r="G105" s="588"/>
      <c r="H105" s="588"/>
      <c r="I105" s="588"/>
      <c r="J105" s="3013"/>
      <c r="K105" s="588"/>
      <c r="L105" s="47"/>
      <c r="R105" s="16"/>
    </row>
    <row r="106" spans="1:18" s="20" customFormat="1" x14ac:dyDescent="0.2">
      <c r="A106" s="65"/>
      <c r="B106" s="65"/>
      <c r="C106" s="65"/>
      <c r="D106" s="65"/>
      <c r="E106" s="65"/>
      <c r="F106" s="65"/>
      <c r="G106" s="588"/>
      <c r="H106" s="588"/>
      <c r="I106" s="588"/>
      <c r="J106" s="3013"/>
      <c r="K106" s="588"/>
      <c r="L106" s="47"/>
      <c r="R106" s="16"/>
    </row>
    <row r="107" spans="1:18" s="20" customFormat="1" x14ac:dyDescent="0.2">
      <c r="A107" s="65"/>
      <c r="B107" s="65"/>
      <c r="C107" s="65"/>
      <c r="D107" s="65"/>
      <c r="E107" s="65"/>
      <c r="F107" s="65"/>
      <c r="G107" s="588"/>
      <c r="H107" s="588"/>
      <c r="I107" s="588"/>
      <c r="J107" s="3013"/>
      <c r="K107" s="588"/>
      <c r="L107" s="47"/>
      <c r="R107" s="16"/>
    </row>
    <row r="108" spans="1:18" s="20" customFormat="1" hidden="1" x14ac:dyDescent="0.2">
      <c r="A108" s="65"/>
      <c r="B108" s="65"/>
      <c r="C108" s="65"/>
      <c r="D108" s="65"/>
      <c r="E108" s="65"/>
      <c r="F108" s="65"/>
      <c r="G108" s="588"/>
      <c r="H108" s="588"/>
      <c r="I108" s="588"/>
      <c r="J108" s="3013"/>
      <c r="K108" s="588"/>
      <c r="L108" s="47"/>
      <c r="R108" s="16"/>
    </row>
    <row r="109" spans="1:18" s="20" customFormat="1" hidden="1" x14ac:dyDescent="0.2">
      <c r="A109" s="65"/>
      <c r="B109" s="65"/>
      <c r="C109" s="65"/>
      <c r="D109" s="65"/>
      <c r="E109" s="65"/>
      <c r="F109" s="65"/>
      <c r="G109" s="588"/>
      <c r="H109" s="588"/>
      <c r="I109" s="588"/>
      <c r="J109" s="3013"/>
      <c r="K109" s="588"/>
      <c r="L109" s="47"/>
      <c r="R109" s="16"/>
    </row>
    <row r="110" spans="1:18" s="20" customFormat="1" hidden="1" x14ac:dyDescent="0.2">
      <c r="A110" s="65"/>
      <c r="B110" s="65"/>
      <c r="C110" s="65"/>
      <c r="D110" s="65"/>
      <c r="E110" s="65"/>
      <c r="F110" s="65"/>
      <c r="G110" s="588"/>
      <c r="H110" s="588"/>
      <c r="I110" s="588"/>
      <c r="J110" s="3013"/>
      <c r="K110" s="588"/>
      <c r="L110" s="47"/>
      <c r="R110" s="16"/>
    </row>
    <row r="111" spans="1:18" s="20" customFormat="1" ht="13.5" thickBot="1" x14ac:dyDescent="0.25">
      <c r="A111" s="65"/>
      <c r="B111" s="65"/>
      <c r="C111" s="65"/>
      <c r="D111" s="65"/>
      <c r="E111" s="65"/>
      <c r="F111" s="65"/>
      <c r="G111" s="588"/>
      <c r="H111" s="588"/>
      <c r="I111" s="588"/>
      <c r="J111" s="3013"/>
      <c r="K111" s="3795" t="s">
        <v>508</v>
      </c>
      <c r="L111" s="3795"/>
      <c r="M111" s="129"/>
      <c r="O111" s="129"/>
      <c r="P111" s="129"/>
      <c r="Q111" s="129"/>
      <c r="R111" s="16"/>
    </row>
    <row r="112" spans="1:18" s="20" customFormat="1" ht="13.5" hidden="1" thickBot="1" x14ac:dyDescent="0.25">
      <c r="A112" s="65"/>
      <c r="B112" s="65"/>
      <c r="C112" s="65"/>
      <c r="D112" s="65"/>
      <c r="E112" s="65"/>
      <c r="F112" s="65"/>
      <c r="G112" s="588"/>
      <c r="H112" s="588"/>
      <c r="I112" s="588"/>
      <c r="J112" s="2313"/>
      <c r="K112" s="588"/>
      <c r="L112" s="47"/>
      <c r="R112" s="16"/>
    </row>
    <row r="113" spans="1:18" s="529" customFormat="1" ht="23.25" thickBot="1" x14ac:dyDescent="0.25">
      <c r="A113" s="2540" t="s">
        <v>433</v>
      </c>
      <c r="B113" s="2541"/>
      <c r="C113" s="1407"/>
      <c r="D113" s="2606">
        <v>2018</v>
      </c>
      <c r="E113" s="3174" t="s">
        <v>825</v>
      </c>
      <c r="F113" s="3175" t="s">
        <v>958</v>
      </c>
      <c r="G113" s="1408">
        <v>2021</v>
      </c>
      <c r="H113" s="2343" t="s">
        <v>873</v>
      </c>
      <c r="I113" s="2343" t="s">
        <v>929</v>
      </c>
      <c r="J113" s="3113">
        <v>2022</v>
      </c>
      <c r="K113" s="2344">
        <v>2023</v>
      </c>
      <c r="L113" s="2345">
        <v>2024</v>
      </c>
      <c r="M113" s="589"/>
      <c r="N113" s="590"/>
      <c r="O113" s="591"/>
      <c r="P113" s="526"/>
      <c r="Q113" s="527"/>
      <c r="R113" s="592"/>
    </row>
    <row r="114" spans="1:18" s="134" customFormat="1" ht="13.5" thickBot="1" x14ac:dyDescent="0.25">
      <c r="A114" s="2409" t="s">
        <v>509</v>
      </c>
      <c r="B114" s="2596"/>
      <c r="C114" s="2596"/>
      <c r="D114" s="2607">
        <f>SUM(D115:D117)</f>
        <v>1240</v>
      </c>
      <c r="E114" s="2608">
        <f>SUM(E115,E117,E116)</f>
        <v>1005</v>
      </c>
      <c r="F114" s="2589">
        <f>SUM(F115:F118)</f>
        <v>4775</v>
      </c>
      <c r="G114" s="2589">
        <f>SUM(G115,G116,G117)</f>
        <v>1160</v>
      </c>
      <c r="H114" s="2548">
        <f>H115+H116+H117+H118</f>
        <v>26160</v>
      </c>
      <c r="I114" s="2557">
        <f>I115+I116+I117+I118</f>
        <v>26220</v>
      </c>
      <c r="J114" s="2602">
        <f>J115+J116+J117+J118</f>
        <v>1220</v>
      </c>
      <c r="K114" s="2418">
        <f>SUM(K115,K116,K117)</f>
        <v>1170</v>
      </c>
      <c r="L114" s="2444">
        <f>SUM(L115,L116,L117)</f>
        <v>1470</v>
      </c>
      <c r="M114" s="593"/>
      <c r="N114" s="594"/>
      <c r="O114" s="595"/>
      <c r="P114" s="595"/>
      <c r="Q114" s="595"/>
      <c r="R114" s="596"/>
    </row>
    <row r="115" spans="1:18" s="20" customFormat="1" x14ac:dyDescent="0.2">
      <c r="A115" s="555">
        <v>632</v>
      </c>
      <c r="B115" s="566" t="s">
        <v>92</v>
      </c>
      <c r="C115" s="2179" t="s">
        <v>510</v>
      </c>
      <c r="D115" s="2515">
        <v>300</v>
      </c>
      <c r="E115" s="1439">
        <v>180</v>
      </c>
      <c r="F115" s="1643">
        <v>200</v>
      </c>
      <c r="G115" s="1439">
        <v>200</v>
      </c>
      <c r="H115" s="3015">
        <v>200</v>
      </c>
      <c r="I115" s="3058">
        <v>200</v>
      </c>
      <c r="J115" s="2599">
        <v>200</v>
      </c>
      <c r="K115" s="2082">
        <v>200</v>
      </c>
      <c r="L115" s="1376">
        <v>200</v>
      </c>
      <c r="M115" s="597"/>
      <c r="N115" s="65"/>
      <c r="O115" s="65"/>
      <c r="P115" s="65"/>
      <c r="Q115" s="65"/>
      <c r="R115" s="16"/>
    </row>
    <row r="116" spans="1:18" s="20" customFormat="1" x14ac:dyDescent="0.2">
      <c r="A116" s="35">
        <v>637</v>
      </c>
      <c r="B116" s="43" t="s">
        <v>111</v>
      </c>
      <c r="C116" s="1105" t="s">
        <v>208</v>
      </c>
      <c r="D116" s="1418">
        <v>640</v>
      </c>
      <c r="E116" s="1372">
        <v>502</v>
      </c>
      <c r="F116" s="1433"/>
      <c r="G116" s="1372">
        <v>640</v>
      </c>
      <c r="H116" s="3016">
        <v>640</v>
      </c>
      <c r="I116" s="3048">
        <v>640</v>
      </c>
      <c r="J116" s="2598">
        <v>640</v>
      </c>
      <c r="K116" s="2062">
        <v>640</v>
      </c>
      <c r="L116" s="1374">
        <v>940</v>
      </c>
      <c r="M116" s="597"/>
      <c r="N116" s="65"/>
      <c r="O116" s="65"/>
      <c r="P116" s="65"/>
      <c r="Q116" s="65"/>
      <c r="R116" s="16"/>
    </row>
    <row r="117" spans="1:18" x14ac:dyDescent="0.2">
      <c r="A117" s="35">
        <v>637</v>
      </c>
      <c r="B117" s="43" t="s">
        <v>500</v>
      </c>
      <c r="C117" s="1105" t="s">
        <v>257</v>
      </c>
      <c r="D117" s="1418">
        <v>300</v>
      </c>
      <c r="E117" s="1371">
        <v>323</v>
      </c>
      <c r="F117" s="2562">
        <v>360</v>
      </c>
      <c r="G117" s="1372">
        <v>320</v>
      </c>
      <c r="H117" s="3016">
        <v>320</v>
      </c>
      <c r="I117" s="3048">
        <v>380</v>
      </c>
      <c r="J117" s="2598">
        <v>380</v>
      </c>
      <c r="K117" s="2062">
        <v>330</v>
      </c>
      <c r="L117" s="1374">
        <v>330</v>
      </c>
      <c r="M117" s="79"/>
      <c r="N117" s="65"/>
      <c r="O117" s="65"/>
      <c r="P117" s="65"/>
      <c r="Q117" s="65"/>
      <c r="R117" s="53"/>
    </row>
    <row r="118" spans="1:18" ht="13.5" thickBot="1" x14ac:dyDescent="0.25">
      <c r="A118" s="84">
        <v>637</v>
      </c>
      <c r="B118" s="85" t="s">
        <v>500</v>
      </c>
      <c r="C118" s="64" t="s">
        <v>888</v>
      </c>
      <c r="D118" s="54"/>
      <c r="E118" s="1418"/>
      <c r="F118" s="1433">
        <v>4215</v>
      </c>
      <c r="G118" s="54"/>
      <c r="H118" s="3035">
        <v>25000</v>
      </c>
      <c r="I118" s="3044">
        <v>25000</v>
      </c>
      <c r="J118" s="2603">
        <v>0</v>
      </c>
      <c r="K118" s="2063"/>
      <c r="L118" s="1378"/>
      <c r="M118" s="79"/>
      <c r="N118" s="65"/>
      <c r="O118" s="65"/>
      <c r="P118" s="65"/>
      <c r="Q118" s="65"/>
      <c r="R118" s="53"/>
    </row>
    <row r="119" spans="1:18" ht="13.5" thickBot="1" x14ac:dyDescent="0.25">
      <c r="A119" s="2396" t="s">
        <v>511</v>
      </c>
      <c r="B119" s="2583"/>
      <c r="C119" s="2590" t="s">
        <v>254</v>
      </c>
      <c r="D119" s="2609">
        <f>D114</f>
        <v>1240</v>
      </c>
      <c r="E119" s="3283">
        <f>SUM(E115,E117,E116)</f>
        <v>1005</v>
      </c>
      <c r="F119" s="3284">
        <f>F114</f>
        <v>4775</v>
      </c>
      <c r="G119" s="2611">
        <f>SUM(G115,G116,G117)</f>
        <v>1160</v>
      </c>
      <c r="H119" s="2612">
        <f>H114</f>
        <v>26160</v>
      </c>
      <c r="I119" s="2613">
        <f>I114</f>
        <v>26220</v>
      </c>
      <c r="J119" s="2558">
        <f>J114</f>
        <v>1220</v>
      </c>
      <c r="K119" s="2614">
        <f>K114</f>
        <v>1170</v>
      </c>
      <c r="L119" s="2615">
        <f>L114</f>
        <v>1470</v>
      </c>
      <c r="M119" s="90"/>
      <c r="N119" s="594"/>
      <c r="O119" s="584"/>
      <c r="P119" s="584"/>
      <c r="Q119" s="584"/>
    </row>
    <row r="120" spans="1:18" hidden="1" x14ac:dyDescent="0.2">
      <c r="A120" s="598"/>
      <c r="B120" s="65"/>
      <c r="C120" s="134"/>
      <c r="D120" s="134"/>
      <c r="E120" s="134"/>
      <c r="F120" s="134"/>
      <c r="G120" s="599"/>
      <c r="H120" s="599"/>
      <c r="I120" s="599"/>
      <c r="J120" s="2312"/>
      <c r="K120" s="599"/>
      <c r="L120" s="600"/>
      <c r="M120" s="137"/>
    </row>
    <row r="121" spans="1:18" x14ac:dyDescent="0.2">
      <c r="A121" s="598"/>
      <c r="B121" s="65"/>
      <c r="C121" s="134"/>
      <c r="D121" s="134"/>
      <c r="E121" s="134"/>
      <c r="F121" s="134"/>
      <c r="G121" s="599"/>
      <c r="H121" s="599"/>
      <c r="I121" s="599"/>
      <c r="J121" s="2071"/>
      <c r="K121" s="599"/>
      <c r="L121" s="600"/>
      <c r="M121" s="137"/>
    </row>
    <row r="122" spans="1:18" ht="13.5" thickBot="1" x14ac:dyDescent="0.25">
      <c r="A122" s="598"/>
      <c r="B122" s="65"/>
      <c r="C122" s="134"/>
      <c r="D122" s="134"/>
      <c r="E122" s="134"/>
      <c r="F122" s="134"/>
      <c r="G122" s="599"/>
      <c r="H122" s="599"/>
      <c r="I122" s="599"/>
      <c r="J122" s="2071"/>
      <c r="K122" s="3795" t="s">
        <v>512</v>
      </c>
      <c r="L122" s="3795"/>
      <c r="M122" s="129"/>
      <c r="O122" s="129"/>
      <c r="P122" s="129"/>
      <c r="Q122" s="129"/>
    </row>
    <row r="123" spans="1:18" ht="13.5" hidden="1" thickBot="1" x14ac:dyDescent="0.25">
      <c r="A123" s="598"/>
      <c r="B123" s="65"/>
      <c r="C123" s="134"/>
      <c r="D123" s="134"/>
      <c r="E123" s="134"/>
      <c r="F123" s="134"/>
      <c r="G123" s="599"/>
      <c r="H123" s="599"/>
      <c r="I123" s="599"/>
      <c r="J123" s="2312"/>
      <c r="K123" s="599"/>
      <c r="L123" s="600"/>
      <c r="M123" s="137"/>
      <c r="O123" s="601"/>
      <c r="P123" s="601"/>
      <c r="Q123" s="601"/>
    </row>
    <row r="124" spans="1:18" s="592" customFormat="1" ht="23.25" thickBot="1" x14ac:dyDescent="0.25">
      <c r="A124" s="713" t="s">
        <v>433</v>
      </c>
      <c r="B124" s="714"/>
      <c r="C124" s="730"/>
      <c r="D124" s="524">
        <v>2018</v>
      </c>
      <c r="E124" s="3174" t="s">
        <v>825</v>
      </c>
      <c r="F124" s="3175" t="s">
        <v>958</v>
      </c>
      <c r="G124" s="1408">
        <v>2021</v>
      </c>
      <c r="H124" s="2343" t="s">
        <v>873</v>
      </c>
      <c r="I124" s="2343" t="s">
        <v>929</v>
      </c>
      <c r="J124" s="3113">
        <v>2022</v>
      </c>
      <c r="K124" s="2344">
        <v>2023</v>
      </c>
      <c r="L124" s="2345">
        <v>2024</v>
      </c>
      <c r="M124" s="589"/>
      <c r="N124" s="590"/>
      <c r="O124" s="591"/>
      <c r="P124" s="526"/>
      <c r="Q124" s="527"/>
    </row>
    <row r="125" spans="1:18" s="17" customFormat="1" x14ac:dyDescent="0.2">
      <c r="A125" s="715" t="s">
        <v>513</v>
      </c>
      <c r="B125" s="585"/>
      <c r="C125" s="583"/>
      <c r="D125" s="1409">
        <f t="shared" ref="D125:I125" si="11">D126+D127+D128+D129+D130+D138+D142+D143+D144+D145</f>
        <v>82967</v>
      </c>
      <c r="E125" s="1396">
        <f t="shared" si="11"/>
        <v>97687</v>
      </c>
      <c r="F125" s="1911">
        <f t="shared" si="11"/>
        <v>108032</v>
      </c>
      <c r="G125" s="1396">
        <f t="shared" si="11"/>
        <v>92380</v>
      </c>
      <c r="H125" s="1421">
        <f t="shared" si="11"/>
        <v>92380</v>
      </c>
      <c r="I125" s="2573">
        <f t="shared" si="11"/>
        <v>108174</v>
      </c>
      <c r="J125" s="2605">
        <f>J126+J127+J128+J129+J130+J138+J142+J143+J144+J145</f>
        <v>97146</v>
      </c>
      <c r="K125" s="1410">
        <f>K126+K127+K128+K129+K130+K138+K142+K143+K144</f>
        <v>99480</v>
      </c>
      <c r="L125" s="1411">
        <f>L126+L127+L128+L129+L130+L138+L142+L143+L144</f>
        <v>101680</v>
      </c>
      <c r="M125" s="602"/>
      <c r="N125" s="584"/>
      <c r="O125" s="530"/>
      <c r="P125" s="530"/>
      <c r="Q125" s="530"/>
    </row>
    <row r="126" spans="1:18" s="20" customFormat="1" x14ac:dyDescent="0.2">
      <c r="A126" s="718">
        <v>610</v>
      </c>
      <c r="B126" s="43"/>
      <c r="C126" s="1108" t="s">
        <v>449</v>
      </c>
      <c r="D126" s="1854">
        <v>53000</v>
      </c>
      <c r="E126" s="877">
        <v>63722</v>
      </c>
      <c r="F126" s="1433">
        <v>70780</v>
      </c>
      <c r="G126" s="2910">
        <v>62000</v>
      </c>
      <c r="H126" s="2910">
        <v>62000</v>
      </c>
      <c r="I126" s="2598">
        <v>70000</v>
      </c>
      <c r="J126" s="2598">
        <v>65000</v>
      </c>
      <c r="K126" s="2058">
        <v>66000</v>
      </c>
      <c r="L126" s="1385">
        <v>67500</v>
      </c>
      <c r="M126" s="89"/>
      <c r="O126" s="73"/>
      <c r="P126" s="65"/>
      <c r="Q126" s="65"/>
      <c r="R126" s="16"/>
    </row>
    <row r="127" spans="1:18" x14ac:dyDescent="0.2">
      <c r="A127" s="718">
        <v>620</v>
      </c>
      <c r="B127" s="43"/>
      <c r="C127" s="1105" t="s">
        <v>194</v>
      </c>
      <c r="D127" s="1835">
        <v>19455</v>
      </c>
      <c r="E127" s="2169">
        <v>22543</v>
      </c>
      <c r="F127" s="1433">
        <v>25264</v>
      </c>
      <c r="G127" s="2910">
        <v>21000</v>
      </c>
      <c r="H127" s="2910">
        <v>21000</v>
      </c>
      <c r="I127" s="2598">
        <v>26000</v>
      </c>
      <c r="J127" s="2598">
        <v>22500</v>
      </c>
      <c r="K127" s="2058">
        <v>23000</v>
      </c>
      <c r="L127" s="1385">
        <v>23200</v>
      </c>
      <c r="M127" s="89"/>
      <c r="O127" s="73"/>
      <c r="P127" s="65"/>
      <c r="Q127" s="65"/>
    </row>
    <row r="128" spans="1:18" x14ac:dyDescent="0.2">
      <c r="A128" s="718">
        <v>631</v>
      </c>
      <c r="B128" s="43"/>
      <c r="C128" s="1105" t="s">
        <v>514</v>
      </c>
      <c r="D128" s="1835">
        <v>50</v>
      </c>
      <c r="E128" s="2169">
        <v>0</v>
      </c>
      <c r="F128" s="1433">
        <v>0</v>
      </c>
      <c r="G128" s="2899">
        <v>50</v>
      </c>
      <c r="H128" s="2899">
        <v>50</v>
      </c>
      <c r="I128" s="2598">
        <v>50</v>
      </c>
      <c r="J128" s="2598">
        <v>50</v>
      </c>
      <c r="K128" s="2062">
        <v>50</v>
      </c>
      <c r="L128" s="1374">
        <v>50</v>
      </c>
      <c r="M128" s="89"/>
      <c r="O128" s="73"/>
      <c r="P128" s="65"/>
      <c r="Q128" s="65"/>
    </row>
    <row r="129" spans="1:18" x14ac:dyDescent="0.2">
      <c r="A129" s="718">
        <v>632</v>
      </c>
      <c r="B129" s="43"/>
      <c r="C129" s="1105" t="s">
        <v>198</v>
      </c>
      <c r="D129" s="1835">
        <v>890</v>
      </c>
      <c r="E129" s="2169">
        <v>750</v>
      </c>
      <c r="F129" s="1433">
        <v>650</v>
      </c>
      <c r="G129" s="2899">
        <v>880</v>
      </c>
      <c r="H129" s="2899">
        <v>880</v>
      </c>
      <c r="I129" s="2598">
        <v>880</v>
      </c>
      <c r="J129" s="2598">
        <v>880</v>
      </c>
      <c r="K129" s="2062">
        <v>880</v>
      </c>
      <c r="L129" s="1374">
        <v>880</v>
      </c>
      <c r="M129" s="89"/>
      <c r="O129" s="73"/>
      <c r="P129" s="65"/>
      <c r="Q129" s="65"/>
    </row>
    <row r="130" spans="1:18" x14ac:dyDescent="0.2">
      <c r="A130" s="718">
        <v>633</v>
      </c>
      <c r="B130" s="43"/>
      <c r="C130" s="1105" t="s">
        <v>200</v>
      </c>
      <c r="D130" s="1829">
        <f>D134+D135+D136+D132+D131+D133+D137</f>
        <v>3356</v>
      </c>
      <c r="E130" s="2170">
        <f>E134+E135+E136+E132+E131+E133+E137</f>
        <v>2860</v>
      </c>
      <c r="F130" s="1638">
        <f t="shared" ref="F130:L130" si="12">F134+F135+F136+F132+F131+F133</f>
        <v>6195</v>
      </c>
      <c r="G130" s="2903">
        <f t="shared" si="12"/>
        <v>2850</v>
      </c>
      <c r="H130" s="2903">
        <f t="shared" si="12"/>
        <v>2850</v>
      </c>
      <c r="I130" s="2598">
        <f t="shared" si="12"/>
        <v>2850</v>
      </c>
      <c r="J130" s="2598">
        <f t="shared" si="12"/>
        <v>2850</v>
      </c>
      <c r="K130" s="2062">
        <f t="shared" si="12"/>
        <v>3050</v>
      </c>
      <c r="L130" s="1359">
        <f t="shared" si="12"/>
        <v>3050</v>
      </c>
      <c r="M130" s="89"/>
      <c r="N130" s="89"/>
      <c r="O130" s="89"/>
      <c r="P130" s="89"/>
      <c r="Q130" s="89"/>
    </row>
    <row r="131" spans="1:18" x14ac:dyDescent="0.2">
      <c r="A131" s="718">
        <v>633</v>
      </c>
      <c r="B131" s="43" t="s">
        <v>94</v>
      </c>
      <c r="C131" s="1105" t="s">
        <v>456</v>
      </c>
      <c r="D131" s="1855">
        <v>100</v>
      </c>
      <c r="E131" s="2171">
        <v>0</v>
      </c>
      <c r="F131" s="1641">
        <v>0</v>
      </c>
      <c r="G131" s="2864">
        <v>100</v>
      </c>
      <c r="H131" s="2864">
        <v>100</v>
      </c>
      <c r="I131" s="2598">
        <v>100</v>
      </c>
      <c r="J131" s="2598">
        <v>100</v>
      </c>
      <c r="K131" s="2062">
        <v>100</v>
      </c>
      <c r="L131" s="1360">
        <v>100</v>
      </c>
      <c r="M131" s="89"/>
      <c r="N131" s="89"/>
      <c r="O131" s="89"/>
      <c r="P131" s="89"/>
      <c r="Q131" s="89"/>
    </row>
    <row r="132" spans="1:18" x14ac:dyDescent="0.2">
      <c r="A132" s="718">
        <v>633</v>
      </c>
      <c r="B132" s="43" t="s">
        <v>97</v>
      </c>
      <c r="C132" s="1105" t="s">
        <v>515</v>
      </c>
      <c r="D132" s="1855">
        <v>0</v>
      </c>
      <c r="E132" s="2171">
        <v>0</v>
      </c>
      <c r="F132" s="1641">
        <v>0</v>
      </c>
      <c r="G132" s="2864">
        <v>0</v>
      </c>
      <c r="H132" s="2864">
        <v>0</v>
      </c>
      <c r="I132" s="2598">
        <v>0</v>
      </c>
      <c r="J132" s="2598">
        <v>0</v>
      </c>
      <c r="K132" s="2062">
        <v>0</v>
      </c>
      <c r="L132" s="1360">
        <v>0</v>
      </c>
      <c r="M132" s="89"/>
      <c r="N132" s="89"/>
      <c r="O132" s="89"/>
      <c r="P132" s="89"/>
      <c r="Q132" s="89"/>
    </row>
    <row r="133" spans="1:18" x14ac:dyDescent="0.2">
      <c r="A133" s="718">
        <v>633</v>
      </c>
      <c r="B133" s="43" t="s">
        <v>111</v>
      </c>
      <c r="C133" s="1105" t="s">
        <v>458</v>
      </c>
      <c r="D133" s="1855">
        <v>500</v>
      </c>
      <c r="E133" s="2171">
        <v>36</v>
      </c>
      <c r="F133" s="1641">
        <v>123</v>
      </c>
      <c r="G133" s="2911">
        <v>300</v>
      </c>
      <c r="H133" s="2911">
        <v>300</v>
      </c>
      <c r="I133" s="2598">
        <v>300</v>
      </c>
      <c r="J133" s="2598">
        <v>300</v>
      </c>
      <c r="K133" s="2062">
        <v>500</v>
      </c>
      <c r="L133" s="1360">
        <v>500</v>
      </c>
      <c r="M133" s="89"/>
      <c r="N133" s="89"/>
      <c r="O133" s="89"/>
      <c r="P133" s="89"/>
      <c r="Q133" s="89"/>
    </row>
    <row r="134" spans="1:18" x14ac:dyDescent="0.2">
      <c r="A134" s="718">
        <v>633</v>
      </c>
      <c r="B134" s="43" t="s">
        <v>125</v>
      </c>
      <c r="C134" s="1105" t="s">
        <v>357</v>
      </c>
      <c r="D134" s="1855">
        <v>1000</v>
      </c>
      <c r="E134" s="2171">
        <v>988</v>
      </c>
      <c r="F134" s="1641">
        <v>3710</v>
      </c>
      <c r="G134" s="2864">
        <v>800</v>
      </c>
      <c r="H134" s="2864">
        <v>800</v>
      </c>
      <c r="I134" s="2598">
        <v>800</v>
      </c>
      <c r="J134" s="2598">
        <v>800</v>
      </c>
      <c r="K134" s="2062">
        <v>800</v>
      </c>
      <c r="L134" s="1360">
        <v>800</v>
      </c>
      <c r="M134" s="581"/>
      <c r="O134" s="603"/>
      <c r="P134" s="603"/>
      <c r="Q134" s="603"/>
    </row>
    <row r="135" spans="1:18" x14ac:dyDescent="0.2">
      <c r="A135" s="718">
        <v>633</v>
      </c>
      <c r="B135" s="43" t="s">
        <v>461</v>
      </c>
      <c r="C135" s="1105" t="s">
        <v>516</v>
      </c>
      <c r="D135" s="1855">
        <v>26</v>
      </c>
      <c r="E135" s="2171">
        <v>46</v>
      </c>
      <c r="F135" s="1641">
        <v>44</v>
      </c>
      <c r="G135" s="2864">
        <v>150</v>
      </c>
      <c r="H135" s="2864">
        <v>150</v>
      </c>
      <c r="I135" s="2598">
        <v>150</v>
      </c>
      <c r="J135" s="2598">
        <v>150</v>
      </c>
      <c r="K135" s="2062">
        <v>150</v>
      </c>
      <c r="L135" s="1360">
        <v>150</v>
      </c>
      <c r="M135" s="581"/>
      <c r="O135" s="603"/>
      <c r="P135" s="603"/>
      <c r="Q135" s="603"/>
    </row>
    <row r="136" spans="1:18" x14ac:dyDescent="0.2">
      <c r="A136" s="718">
        <v>633</v>
      </c>
      <c r="B136" s="43" t="s">
        <v>463</v>
      </c>
      <c r="C136" s="1105" t="s">
        <v>517</v>
      </c>
      <c r="D136" s="1855">
        <v>1700</v>
      </c>
      <c r="E136" s="2171">
        <v>1711</v>
      </c>
      <c r="F136" s="1641">
        <v>2318</v>
      </c>
      <c r="G136" s="2864">
        <v>1500</v>
      </c>
      <c r="H136" s="2864">
        <v>1500</v>
      </c>
      <c r="I136" s="2598">
        <v>1500</v>
      </c>
      <c r="J136" s="2598">
        <v>1500</v>
      </c>
      <c r="K136" s="2062">
        <v>1500</v>
      </c>
      <c r="L136" s="1360">
        <v>1500</v>
      </c>
      <c r="M136" s="581"/>
      <c r="O136" s="603"/>
      <c r="P136" s="603"/>
      <c r="Q136" s="65"/>
    </row>
    <row r="137" spans="1:18" x14ac:dyDescent="0.2">
      <c r="A137" s="718">
        <v>633</v>
      </c>
      <c r="B137" s="43" t="s">
        <v>468</v>
      </c>
      <c r="C137" s="1105" t="s">
        <v>469</v>
      </c>
      <c r="D137" s="1855">
        <v>30</v>
      </c>
      <c r="E137" s="2171">
        <v>79</v>
      </c>
      <c r="F137" s="1641"/>
      <c r="G137" s="2864"/>
      <c r="H137" s="2864"/>
      <c r="I137" s="2598"/>
      <c r="J137" s="2598"/>
      <c r="K137" s="2062"/>
      <c r="L137" s="1360"/>
      <c r="M137" s="581"/>
      <c r="O137" s="603"/>
      <c r="P137" s="603"/>
      <c r="Q137" s="65"/>
    </row>
    <row r="138" spans="1:18" x14ac:dyDescent="0.2">
      <c r="A138" s="718">
        <v>634</v>
      </c>
      <c r="B138" s="43"/>
      <c r="C138" s="1105" t="s">
        <v>202</v>
      </c>
      <c r="D138" s="1835">
        <f t="shared" ref="D138:H138" si="13">SUM(D139,D140,D141)</f>
        <v>5350</v>
      </c>
      <c r="E138" s="2169">
        <f t="shared" si="13"/>
        <v>6942</v>
      </c>
      <c r="F138" s="1433">
        <f t="shared" si="13"/>
        <v>4800</v>
      </c>
      <c r="G138" s="2899">
        <f t="shared" ref="G138" si="14">SUM(G139,G140,G141)</f>
        <v>5100</v>
      </c>
      <c r="H138" s="2899">
        <f t="shared" si="13"/>
        <v>5100</v>
      </c>
      <c r="I138" s="2598">
        <f>SUM(I139,I140,I141)</f>
        <v>7000</v>
      </c>
      <c r="J138" s="2598">
        <f>SUM(J139,J140,J141)</f>
        <v>5300</v>
      </c>
      <c r="K138" s="2062">
        <v>6000</v>
      </c>
      <c r="L138" s="1374">
        <v>6500</v>
      </c>
      <c r="M138" s="89"/>
      <c r="O138" s="65"/>
      <c r="P138" s="65"/>
      <c r="Q138" s="65"/>
    </row>
    <row r="139" spans="1:18" x14ac:dyDescent="0.2">
      <c r="A139" s="718">
        <v>634</v>
      </c>
      <c r="B139" s="43" t="s">
        <v>94</v>
      </c>
      <c r="C139" s="1105" t="s">
        <v>518</v>
      </c>
      <c r="D139" s="1855">
        <v>3500</v>
      </c>
      <c r="E139" s="2171">
        <v>4024</v>
      </c>
      <c r="F139" s="1641">
        <v>3642</v>
      </c>
      <c r="G139" s="2911">
        <v>3500</v>
      </c>
      <c r="H139" s="2911">
        <v>3500</v>
      </c>
      <c r="I139" s="2598">
        <v>3500</v>
      </c>
      <c r="J139" s="2598">
        <v>3500</v>
      </c>
      <c r="K139" s="2062">
        <v>4000</v>
      </c>
      <c r="L139" s="1360">
        <v>4000</v>
      </c>
      <c r="M139" s="581"/>
      <c r="O139" s="581"/>
      <c r="P139" s="603"/>
      <c r="Q139" s="603"/>
      <c r="R139" s="34"/>
    </row>
    <row r="140" spans="1:18" x14ac:dyDescent="0.2">
      <c r="A140" s="718">
        <v>634</v>
      </c>
      <c r="B140" s="43" t="s">
        <v>97</v>
      </c>
      <c r="C140" s="1105" t="s">
        <v>519</v>
      </c>
      <c r="D140" s="1855">
        <v>1500</v>
      </c>
      <c r="E140" s="2171">
        <v>2581</v>
      </c>
      <c r="F140" s="1641">
        <v>821</v>
      </c>
      <c r="G140" s="2864">
        <v>1000</v>
      </c>
      <c r="H140" s="2864">
        <v>1000</v>
      </c>
      <c r="I140" s="3194">
        <v>2800</v>
      </c>
      <c r="J140" s="2598">
        <v>1000</v>
      </c>
      <c r="K140" s="2062">
        <v>1000</v>
      </c>
      <c r="L140" s="1360">
        <v>1000</v>
      </c>
      <c r="M140" s="581"/>
      <c r="O140" s="603"/>
      <c r="P140" s="603"/>
      <c r="Q140" s="603"/>
    </row>
    <row r="141" spans="1:18" x14ac:dyDescent="0.2">
      <c r="A141" s="718">
        <v>634</v>
      </c>
      <c r="B141" s="43" t="s">
        <v>92</v>
      </c>
      <c r="C141" s="1105" t="s">
        <v>520</v>
      </c>
      <c r="D141" s="1855">
        <v>350</v>
      </c>
      <c r="E141" s="2171">
        <v>337</v>
      </c>
      <c r="F141" s="1641">
        <v>337</v>
      </c>
      <c r="G141" s="2864">
        <v>600</v>
      </c>
      <c r="H141" s="2864">
        <v>600</v>
      </c>
      <c r="I141" s="3194">
        <v>700</v>
      </c>
      <c r="J141" s="2598">
        <v>800</v>
      </c>
      <c r="K141" s="2062">
        <v>600</v>
      </c>
      <c r="L141" s="1360">
        <v>600</v>
      </c>
      <c r="M141" s="581"/>
      <c r="O141" s="603"/>
      <c r="P141" s="603"/>
      <c r="Q141" s="603"/>
      <c r="R141" s="53"/>
    </row>
    <row r="142" spans="1:18" x14ac:dyDescent="0.2">
      <c r="A142" s="718">
        <v>635</v>
      </c>
      <c r="B142" s="43"/>
      <c r="C142" s="1105" t="s">
        <v>521</v>
      </c>
      <c r="D142" s="1835">
        <v>400</v>
      </c>
      <c r="E142" s="2169">
        <v>283</v>
      </c>
      <c r="F142" s="1433">
        <v>144</v>
      </c>
      <c r="G142" s="2899">
        <v>100</v>
      </c>
      <c r="H142" s="2899">
        <v>100</v>
      </c>
      <c r="I142" s="2598">
        <v>1028</v>
      </c>
      <c r="J142" s="2598">
        <v>200</v>
      </c>
      <c r="K142" s="2062">
        <v>100</v>
      </c>
      <c r="L142" s="1374">
        <v>100</v>
      </c>
      <c r="M142" s="581"/>
      <c r="O142" s="603"/>
      <c r="P142" s="603"/>
      <c r="Q142" s="603"/>
      <c r="R142" s="53"/>
    </row>
    <row r="143" spans="1:18" x14ac:dyDescent="0.2">
      <c r="A143" s="718">
        <v>637</v>
      </c>
      <c r="B143" s="43"/>
      <c r="C143" s="1105" t="s">
        <v>522</v>
      </c>
      <c r="D143" s="1835">
        <v>400</v>
      </c>
      <c r="E143" s="2169">
        <v>521</v>
      </c>
      <c r="F143" s="1433">
        <v>133</v>
      </c>
      <c r="G143" s="2899">
        <v>300</v>
      </c>
      <c r="H143" s="2899">
        <v>300</v>
      </c>
      <c r="I143" s="2598">
        <v>300</v>
      </c>
      <c r="J143" s="2598">
        <v>300</v>
      </c>
      <c r="K143" s="2062">
        <v>300</v>
      </c>
      <c r="L143" s="1374">
        <v>300</v>
      </c>
      <c r="M143" s="89"/>
      <c r="O143" s="65"/>
      <c r="P143" s="65"/>
      <c r="Q143" s="65"/>
      <c r="R143" s="53"/>
    </row>
    <row r="144" spans="1:18" x14ac:dyDescent="0.2">
      <c r="A144" s="718">
        <v>642</v>
      </c>
      <c r="B144" s="43"/>
      <c r="C144" s="1105" t="s">
        <v>523</v>
      </c>
      <c r="D144" s="1835">
        <v>66</v>
      </c>
      <c r="E144" s="2169">
        <v>66</v>
      </c>
      <c r="F144" s="1433">
        <v>66</v>
      </c>
      <c r="G144" s="2899">
        <v>100</v>
      </c>
      <c r="H144" s="2899">
        <v>100</v>
      </c>
      <c r="I144" s="2598">
        <v>66</v>
      </c>
      <c r="J144" s="2598">
        <v>66</v>
      </c>
      <c r="K144" s="2062">
        <v>100</v>
      </c>
      <c r="L144" s="1374">
        <v>100</v>
      </c>
      <c r="M144" s="89"/>
      <c r="O144" s="65"/>
      <c r="P144" s="65"/>
      <c r="Q144" s="65"/>
    </row>
    <row r="145" spans="1:18" ht="13.5" thickBot="1" x14ac:dyDescent="0.25">
      <c r="A145" s="731">
        <v>637</v>
      </c>
      <c r="B145" s="732" t="s">
        <v>496</v>
      </c>
      <c r="C145" s="1116" t="s">
        <v>272</v>
      </c>
      <c r="D145" s="1863">
        <v>0</v>
      </c>
      <c r="E145" s="2172">
        <v>0</v>
      </c>
      <c r="F145" s="3285"/>
      <c r="G145" s="2912">
        <v>0</v>
      </c>
      <c r="H145" s="2912">
        <v>0</v>
      </c>
      <c r="I145" s="2604">
        <v>0</v>
      </c>
      <c r="J145" s="2604">
        <v>0</v>
      </c>
      <c r="K145" s="2070">
        <v>0</v>
      </c>
      <c r="L145" s="1412">
        <v>0</v>
      </c>
      <c r="M145" s="89"/>
      <c r="O145" s="65"/>
      <c r="P145" s="65"/>
      <c r="Q145" s="65"/>
      <c r="R145" s="604"/>
    </row>
    <row r="146" spans="1:18" ht="13.5" thickBot="1" x14ac:dyDescent="0.25">
      <c r="A146" s="605"/>
      <c r="B146" s="20"/>
      <c r="C146" s="20"/>
      <c r="D146" s="108"/>
      <c r="E146" s="108"/>
      <c r="F146" s="108"/>
      <c r="G146" s="108"/>
      <c r="H146" s="108"/>
      <c r="I146" s="108"/>
      <c r="J146" s="2071"/>
      <c r="K146" s="108"/>
      <c r="L146" s="108"/>
    </row>
    <row r="147" spans="1:18" s="17" customFormat="1" ht="13.5" thickBot="1" x14ac:dyDescent="0.25">
      <c r="A147" s="2550" t="s">
        <v>524</v>
      </c>
      <c r="B147" s="2600"/>
      <c r="C147" s="2600"/>
      <c r="D147" s="2601">
        <f>D148+D149+D156+D163+D164+D161</f>
        <v>9727</v>
      </c>
      <c r="E147" s="2526">
        <f>SUM(E148,E149,E156,E161,E162,E164,E163)</f>
        <v>12818</v>
      </c>
      <c r="F147" s="3065">
        <f>SUM(F148,F149,F156,F161,F162,F164)+F163</f>
        <v>7697</v>
      </c>
      <c r="G147" s="3066">
        <f>SUM(G148,G149,G156,G161,G162,G164,G163)</f>
        <v>8845</v>
      </c>
      <c r="H147" s="3067">
        <f>SUM(H148,H149,H156,H161,H162,H164)+H163</f>
        <v>11645</v>
      </c>
      <c r="I147" s="3068">
        <f>SUM(I148,I149,I156,I161,I162,I164)+I163</f>
        <v>14850</v>
      </c>
      <c r="J147" s="3069">
        <f>SUM(J148,J149,J156,J161,J162,J164)+J163</f>
        <v>9950</v>
      </c>
      <c r="K147" s="3070">
        <f>SUM(K148,K149,K156,K161,K162,K164)+K163</f>
        <v>9345</v>
      </c>
      <c r="L147" s="3071">
        <f>SUM(L148,L149,L156,L161,L162,L164)+L163</f>
        <v>9345</v>
      </c>
      <c r="M147" s="530"/>
      <c r="N147" s="584"/>
      <c r="O147" s="530"/>
      <c r="P147" s="530"/>
      <c r="Q147" s="530"/>
    </row>
    <row r="148" spans="1:18" s="20" customFormat="1" x14ac:dyDescent="0.2">
      <c r="A148" s="1645">
        <v>632</v>
      </c>
      <c r="B148" s="566"/>
      <c r="C148" s="2179" t="s">
        <v>198</v>
      </c>
      <c r="D148" s="1860">
        <v>2270</v>
      </c>
      <c r="E148" s="1848">
        <v>1373</v>
      </c>
      <c r="F148" s="1643">
        <v>2202</v>
      </c>
      <c r="G148" s="2898">
        <v>1895</v>
      </c>
      <c r="H148" s="3020">
        <v>1895</v>
      </c>
      <c r="I148" s="2599">
        <v>2300</v>
      </c>
      <c r="J148" s="2599">
        <v>2300</v>
      </c>
      <c r="K148" s="2082">
        <v>1895</v>
      </c>
      <c r="L148" s="1376">
        <v>1895</v>
      </c>
      <c r="M148" s="89"/>
      <c r="O148" s="73"/>
      <c r="P148" s="65"/>
      <c r="Q148" s="65"/>
      <c r="R148" s="16"/>
    </row>
    <row r="149" spans="1:18" x14ac:dyDescent="0.2">
      <c r="A149" s="722">
        <v>633</v>
      </c>
      <c r="B149" s="43"/>
      <c r="C149" s="1105" t="s">
        <v>200</v>
      </c>
      <c r="D149" s="1861">
        <f t="shared" ref="D149:E149" si="15">D150+D151+D152+D153+D155</f>
        <v>4301</v>
      </c>
      <c r="E149" s="1791">
        <f t="shared" si="15"/>
        <v>6004</v>
      </c>
      <c r="F149" s="1433">
        <f>F150+F151+F152+F153+F155+F154</f>
        <v>3693</v>
      </c>
      <c r="G149" s="2899">
        <f t="shared" ref="G149" si="16">G150+G151+G152+G153+G155</f>
        <v>4500</v>
      </c>
      <c r="H149" s="3021">
        <f>H150+H151+H152+H153+H155</f>
        <v>7300</v>
      </c>
      <c r="I149" s="2598">
        <f>I150+I151+I152+I153+I155</f>
        <v>9900</v>
      </c>
      <c r="J149" s="2598">
        <v>5000</v>
      </c>
      <c r="K149" s="2062">
        <v>5000</v>
      </c>
      <c r="L149" s="1374">
        <v>5000</v>
      </c>
      <c r="M149" s="89"/>
      <c r="O149" s="73"/>
      <c r="P149" s="73"/>
      <c r="Q149" s="73"/>
    </row>
    <row r="150" spans="1:18" x14ac:dyDescent="0.2">
      <c r="A150" s="722">
        <v>633</v>
      </c>
      <c r="B150" s="43" t="s">
        <v>94</v>
      </c>
      <c r="C150" s="1105" t="s">
        <v>525</v>
      </c>
      <c r="D150" s="1355">
        <v>501</v>
      </c>
      <c r="E150" s="1683">
        <v>0</v>
      </c>
      <c r="F150" s="1641">
        <v>0</v>
      </c>
      <c r="G150" s="2864">
        <v>500</v>
      </c>
      <c r="H150" s="3023">
        <v>500</v>
      </c>
      <c r="I150" s="2598">
        <v>500</v>
      </c>
      <c r="J150" s="2598">
        <v>500</v>
      </c>
      <c r="K150" s="2062">
        <v>500</v>
      </c>
      <c r="L150" s="1360">
        <v>500</v>
      </c>
      <c r="M150" s="581"/>
      <c r="O150" s="65"/>
      <c r="P150" s="603"/>
      <c r="Q150" s="603"/>
    </row>
    <row r="151" spans="1:18" x14ac:dyDescent="0.2">
      <c r="A151" s="1803">
        <v>633</v>
      </c>
      <c r="B151" s="558" t="s">
        <v>111</v>
      </c>
      <c r="C151" s="1107" t="s">
        <v>526</v>
      </c>
      <c r="D151" s="1862">
        <v>3000</v>
      </c>
      <c r="E151" s="1790">
        <v>3000</v>
      </c>
      <c r="F151" s="1844">
        <v>3000</v>
      </c>
      <c r="G151" s="2909">
        <v>3000</v>
      </c>
      <c r="H151" s="3032">
        <v>3000</v>
      </c>
      <c r="I151" s="3196">
        <v>3000</v>
      </c>
      <c r="J151" s="3196">
        <v>3000</v>
      </c>
      <c r="K151" s="2062">
        <v>3000</v>
      </c>
      <c r="L151" s="1380">
        <v>3000</v>
      </c>
      <c r="M151" s="586"/>
      <c r="O151" s="606"/>
      <c r="P151" s="528"/>
      <c r="Q151" s="603"/>
    </row>
    <row r="152" spans="1:18" x14ac:dyDescent="0.2">
      <c r="A152" s="722">
        <v>633</v>
      </c>
      <c r="B152" s="43" t="s">
        <v>111</v>
      </c>
      <c r="C152" s="1105" t="s">
        <v>526</v>
      </c>
      <c r="D152" s="1355">
        <v>400</v>
      </c>
      <c r="E152" s="1683">
        <v>892</v>
      </c>
      <c r="F152" s="1641">
        <v>0</v>
      </c>
      <c r="G152" s="2864">
        <v>400</v>
      </c>
      <c r="H152" s="3023">
        <v>400</v>
      </c>
      <c r="I152" s="2598">
        <v>400</v>
      </c>
      <c r="J152" s="2598">
        <v>400</v>
      </c>
      <c r="K152" s="2062">
        <v>400</v>
      </c>
      <c r="L152" s="1360">
        <v>400</v>
      </c>
      <c r="M152" s="581"/>
      <c r="O152" s="73"/>
      <c r="P152" s="603"/>
      <c r="Q152" s="603"/>
    </row>
    <row r="153" spans="1:18" x14ac:dyDescent="0.2">
      <c r="A153" s="723">
        <v>633</v>
      </c>
      <c r="B153" s="85" t="s">
        <v>125</v>
      </c>
      <c r="C153" s="1125" t="s">
        <v>357</v>
      </c>
      <c r="D153" s="1355">
        <v>300</v>
      </c>
      <c r="E153" s="1683">
        <v>1503</v>
      </c>
      <c r="F153" s="1641">
        <v>359</v>
      </c>
      <c r="G153" s="2864">
        <v>400</v>
      </c>
      <c r="H153" s="3023">
        <v>400</v>
      </c>
      <c r="I153" s="2598">
        <v>3000</v>
      </c>
      <c r="J153" s="2598">
        <v>500</v>
      </c>
      <c r="K153" s="2062">
        <v>500</v>
      </c>
      <c r="L153" s="1360">
        <v>500</v>
      </c>
      <c r="M153" s="581"/>
      <c r="O153" s="65"/>
      <c r="P153" s="603"/>
      <c r="Q153" s="603"/>
    </row>
    <row r="154" spans="1:18" x14ac:dyDescent="0.2">
      <c r="A154" s="723">
        <v>633</v>
      </c>
      <c r="B154" s="85" t="s">
        <v>463</v>
      </c>
      <c r="C154" s="1125" t="s">
        <v>856</v>
      </c>
      <c r="D154" s="1355"/>
      <c r="E154" s="1683">
        <v>1045</v>
      </c>
      <c r="F154" s="1641">
        <v>207</v>
      </c>
      <c r="G154" s="2864"/>
      <c r="H154" s="3023"/>
      <c r="I154" s="2598"/>
      <c r="J154" s="2598"/>
      <c r="K154" s="2062"/>
      <c r="L154" s="1360"/>
      <c r="M154" s="581"/>
      <c r="O154" s="65"/>
      <c r="P154" s="603"/>
      <c r="Q154" s="603"/>
    </row>
    <row r="155" spans="1:18" x14ac:dyDescent="0.2">
      <c r="A155" s="722">
        <v>633</v>
      </c>
      <c r="B155" s="43" t="s">
        <v>468</v>
      </c>
      <c r="C155" s="1105" t="s">
        <v>358</v>
      </c>
      <c r="D155" s="1355">
        <v>100</v>
      </c>
      <c r="E155" s="1683">
        <v>609</v>
      </c>
      <c r="F155" s="1641">
        <v>127</v>
      </c>
      <c r="G155" s="2864">
        <v>200</v>
      </c>
      <c r="H155" s="3023">
        <v>3000</v>
      </c>
      <c r="I155" s="2598">
        <v>3000</v>
      </c>
      <c r="J155" s="2598">
        <v>1000</v>
      </c>
      <c r="K155" s="2062">
        <v>1000</v>
      </c>
      <c r="L155" s="1360">
        <v>1000</v>
      </c>
      <c r="M155" s="581"/>
      <c r="O155" s="65"/>
      <c r="P155" s="603"/>
      <c r="Q155" s="65"/>
    </row>
    <row r="156" spans="1:18" x14ac:dyDescent="0.2">
      <c r="A156" s="726">
        <v>634</v>
      </c>
      <c r="B156" s="53"/>
      <c r="C156" s="1128" t="s">
        <v>202</v>
      </c>
      <c r="D156" s="1861">
        <f>D157+D159+D160+D158</f>
        <v>1360</v>
      </c>
      <c r="E156" s="1791">
        <f>E157+E159+E160+E158</f>
        <v>907</v>
      </c>
      <c r="F156" s="1433">
        <f>F157+F158+F159+F160</f>
        <v>498</v>
      </c>
      <c r="G156" s="2899">
        <f t="shared" ref="G156:L156" si="17">SUM(G157:G160)</f>
        <v>1350</v>
      </c>
      <c r="H156" s="3021">
        <f t="shared" si="17"/>
        <v>1350</v>
      </c>
      <c r="I156" s="2598">
        <f t="shared" si="17"/>
        <v>1550</v>
      </c>
      <c r="J156" s="2598">
        <f t="shared" si="17"/>
        <v>1550</v>
      </c>
      <c r="K156" s="2062">
        <f t="shared" si="17"/>
        <v>1350</v>
      </c>
      <c r="L156" s="1374">
        <f t="shared" si="17"/>
        <v>1350</v>
      </c>
      <c r="M156" s="89"/>
      <c r="O156" s="65"/>
      <c r="P156" s="65"/>
      <c r="Q156" s="65"/>
    </row>
    <row r="157" spans="1:18" x14ac:dyDescent="0.2">
      <c r="A157" s="718">
        <v>634</v>
      </c>
      <c r="B157" s="43" t="s">
        <v>94</v>
      </c>
      <c r="C157" s="1105" t="s">
        <v>518</v>
      </c>
      <c r="D157" s="1355">
        <v>500</v>
      </c>
      <c r="E157" s="1683">
        <v>25</v>
      </c>
      <c r="F157" s="1641">
        <v>0</v>
      </c>
      <c r="G157" s="2864">
        <v>500</v>
      </c>
      <c r="H157" s="3023">
        <v>500</v>
      </c>
      <c r="I157" s="2598">
        <v>500</v>
      </c>
      <c r="J157" s="2598">
        <v>500</v>
      </c>
      <c r="K157" s="2062">
        <v>500</v>
      </c>
      <c r="L157" s="1360">
        <v>500</v>
      </c>
      <c r="M157" s="581"/>
      <c r="O157" s="603"/>
      <c r="P157" s="603"/>
      <c r="Q157" s="603"/>
      <c r="R157" s="559"/>
    </row>
    <row r="158" spans="1:18" x14ac:dyDescent="0.2">
      <c r="A158" s="718">
        <v>634</v>
      </c>
      <c r="B158" s="43" t="s">
        <v>97</v>
      </c>
      <c r="C158" s="1105" t="s">
        <v>655</v>
      </c>
      <c r="D158" s="1355">
        <v>300</v>
      </c>
      <c r="E158" s="1683">
        <v>522</v>
      </c>
      <c r="F158" s="1641">
        <v>138</v>
      </c>
      <c r="G158" s="2864">
        <v>300</v>
      </c>
      <c r="H158" s="3023">
        <v>300</v>
      </c>
      <c r="I158" s="2598">
        <v>500</v>
      </c>
      <c r="J158" s="2598">
        <v>500</v>
      </c>
      <c r="K158" s="2062">
        <v>300</v>
      </c>
      <c r="L158" s="1360">
        <v>300</v>
      </c>
      <c r="M158" s="581"/>
      <c r="O158" s="603"/>
      <c r="P158" s="603"/>
      <c r="Q158" s="603"/>
      <c r="R158" s="559"/>
    </row>
    <row r="159" spans="1:18" x14ac:dyDescent="0.2">
      <c r="A159" s="718">
        <v>634</v>
      </c>
      <c r="B159" s="43" t="s">
        <v>111</v>
      </c>
      <c r="C159" s="1105" t="s">
        <v>348</v>
      </c>
      <c r="D159" s="1355">
        <v>200</v>
      </c>
      <c r="E159" s="1683">
        <v>0</v>
      </c>
      <c r="F159" s="1641"/>
      <c r="G159" s="2864">
        <v>200</v>
      </c>
      <c r="H159" s="3023">
        <v>200</v>
      </c>
      <c r="I159" s="2598">
        <v>200</v>
      </c>
      <c r="J159" s="2598">
        <v>200</v>
      </c>
      <c r="K159" s="2062">
        <v>200</v>
      </c>
      <c r="L159" s="1360">
        <v>200</v>
      </c>
      <c r="M159" s="581"/>
      <c r="O159" s="603"/>
      <c r="P159" s="603"/>
      <c r="Q159" s="603"/>
    </row>
    <row r="160" spans="1:18" x14ac:dyDescent="0.2">
      <c r="A160" s="718">
        <v>634</v>
      </c>
      <c r="B160" s="43" t="s">
        <v>92</v>
      </c>
      <c r="C160" s="1105" t="s">
        <v>520</v>
      </c>
      <c r="D160" s="1355">
        <v>360</v>
      </c>
      <c r="E160" s="1683">
        <v>360</v>
      </c>
      <c r="F160" s="1641">
        <v>360</v>
      </c>
      <c r="G160" s="2864">
        <v>350</v>
      </c>
      <c r="H160" s="3023">
        <v>350</v>
      </c>
      <c r="I160" s="2598">
        <v>350</v>
      </c>
      <c r="J160" s="2598">
        <v>350</v>
      </c>
      <c r="K160" s="2062">
        <v>350</v>
      </c>
      <c r="L160" s="1360">
        <v>350</v>
      </c>
      <c r="M160" s="581"/>
      <c r="O160" s="603"/>
      <c r="P160" s="603"/>
      <c r="Q160" s="603"/>
    </row>
    <row r="161" spans="1:18" x14ac:dyDescent="0.2">
      <c r="A161" s="722">
        <v>635</v>
      </c>
      <c r="B161" s="43"/>
      <c r="C161" s="1105" t="s">
        <v>294</v>
      </c>
      <c r="D161" s="1861">
        <v>500</v>
      </c>
      <c r="E161" s="1791">
        <v>365</v>
      </c>
      <c r="F161" s="1433">
        <v>0</v>
      </c>
      <c r="G161" s="2899">
        <v>500</v>
      </c>
      <c r="H161" s="3021">
        <v>500</v>
      </c>
      <c r="I161" s="2598">
        <v>500</v>
      </c>
      <c r="J161" s="2598">
        <v>500</v>
      </c>
      <c r="K161" s="2062">
        <v>500</v>
      </c>
      <c r="L161" s="1374">
        <v>500</v>
      </c>
      <c r="M161" s="89"/>
      <c r="O161" s="65"/>
      <c r="P161" s="65"/>
      <c r="Q161" s="65"/>
    </row>
    <row r="162" spans="1:18" x14ac:dyDescent="0.2">
      <c r="A162" s="1803">
        <v>637</v>
      </c>
      <c r="B162" s="558" t="s">
        <v>120</v>
      </c>
      <c r="C162" s="1107" t="s">
        <v>321</v>
      </c>
      <c r="D162" s="1354">
        <v>0</v>
      </c>
      <c r="E162" s="1601">
        <v>0</v>
      </c>
      <c r="F162" s="1638">
        <v>0</v>
      </c>
      <c r="G162" s="2903">
        <v>0</v>
      </c>
      <c r="H162" s="3031">
        <v>0</v>
      </c>
      <c r="I162" s="2598">
        <v>0</v>
      </c>
      <c r="J162" s="2598">
        <v>0</v>
      </c>
      <c r="K162" s="2062">
        <v>0</v>
      </c>
      <c r="L162" s="1359">
        <v>0</v>
      </c>
      <c r="M162" s="573"/>
      <c r="O162" s="606"/>
      <c r="P162" s="528"/>
      <c r="Q162" s="65"/>
    </row>
    <row r="163" spans="1:18" x14ac:dyDescent="0.2">
      <c r="A163" s="722">
        <v>637</v>
      </c>
      <c r="B163" s="43"/>
      <c r="C163" s="1105" t="s">
        <v>522</v>
      </c>
      <c r="D163" s="1352">
        <v>1296</v>
      </c>
      <c r="E163" s="1602">
        <v>4169</v>
      </c>
      <c r="F163" s="1638">
        <v>1304</v>
      </c>
      <c r="G163" s="2903">
        <v>600</v>
      </c>
      <c r="H163" s="3031">
        <v>600</v>
      </c>
      <c r="I163" s="2598">
        <v>600</v>
      </c>
      <c r="J163" s="2598">
        <v>600</v>
      </c>
      <c r="K163" s="2062">
        <v>600</v>
      </c>
      <c r="L163" s="1359">
        <v>600</v>
      </c>
      <c r="M163" s="573"/>
      <c r="O163" s="606"/>
      <c r="P163" s="528"/>
      <c r="Q163" s="65"/>
    </row>
    <row r="164" spans="1:18" ht="13.5" thickBot="1" x14ac:dyDescent="0.25">
      <c r="A164" s="723">
        <v>642</v>
      </c>
      <c r="B164" s="85" t="s">
        <v>97</v>
      </c>
      <c r="C164" s="1125" t="s">
        <v>527</v>
      </c>
      <c r="D164" s="2134">
        <v>0</v>
      </c>
      <c r="E164" s="880">
        <v>0</v>
      </c>
      <c r="F164" s="2562"/>
      <c r="G164" s="2904"/>
      <c r="H164" s="3027"/>
      <c r="I164" s="2603"/>
      <c r="J164" s="2603"/>
      <c r="K164" s="2073"/>
      <c r="L164" s="1370"/>
      <c r="M164" s="89"/>
      <c r="O164" s="65"/>
      <c r="P164" s="65"/>
      <c r="Q164" s="65"/>
      <c r="R164" s="607"/>
    </row>
    <row r="165" spans="1:18" ht="13.5" thickBot="1" x14ac:dyDescent="0.25">
      <c r="A165" s="2396" t="s">
        <v>528</v>
      </c>
      <c r="B165" s="2397"/>
      <c r="C165" s="2590" t="s">
        <v>529</v>
      </c>
      <c r="D165" s="2591">
        <f>D125+D147</f>
        <v>92694</v>
      </c>
      <c r="E165" s="2421">
        <f>SUM(E125,E147)</f>
        <v>110505</v>
      </c>
      <c r="F165" s="2559">
        <f t="shared" ref="F165:L165" si="18">F125+F147</f>
        <v>115729</v>
      </c>
      <c r="G165" s="2420">
        <f t="shared" si="18"/>
        <v>101225</v>
      </c>
      <c r="H165" s="2581">
        <f t="shared" si="18"/>
        <v>104025</v>
      </c>
      <c r="I165" s="2582">
        <f t="shared" si="18"/>
        <v>123024</v>
      </c>
      <c r="J165" s="3114">
        <f>J125+J147</f>
        <v>107096</v>
      </c>
      <c r="K165" s="2567">
        <f t="shared" si="18"/>
        <v>108825</v>
      </c>
      <c r="L165" s="2564">
        <f t="shared" si="18"/>
        <v>111025</v>
      </c>
      <c r="M165" s="90"/>
      <c r="N165" s="594"/>
      <c r="O165" s="530"/>
      <c r="P165" s="530"/>
      <c r="Q165" s="530"/>
      <c r="R165" s="604"/>
    </row>
    <row r="166" spans="1:18" hidden="1" x14ac:dyDescent="0.2">
      <c r="A166" s="608"/>
      <c r="B166" s="609"/>
      <c r="C166" s="610"/>
      <c r="D166" s="610"/>
      <c r="E166" s="610"/>
      <c r="F166" s="610"/>
      <c r="G166" s="611"/>
      <c r="H166" s="611"/>
      <c r="I166" s="611"/>
      <c r="J166" s="2071"/>
      <c r="K166" s="611"/>
      <c r="L166" s="612"/>
      <c r="M166" s="137"/>
      <c r="N166" s="613"/>
      <c r="O166" s="102"/>
      <c r="P166" s="102"/>
      <c r="Q166" s="102"/>
    </row>
    <row r="167" spans="1:18" hidden="1" x14ac:dyDescent="0.2">
      <c r="A167" s="608"/>
      <c r="B167" s="609"/>
      <c r="C167" s="610"/>
      <c r="D167" s="610"/>
      <c r="E167" s="610"/>
      <c r="F167" s="610"/>
      <c r="G167" s="611"/>
      <c r="H167" s="611"/>
      <c r="I167" s="611"/>
      <c r="J167" s="2071"/>
      <c r="K167" s="611"/>
      <c r="L167" s="612"/>
      <c r="M167" s="137"/>
      <c r="N167" s="613"/>
      <c r="O167" s="102"/>
      <c r="P167" s="102"/>
      <c r="Q167" s="102"/>
    </row>
    <row r="168" spans="1:18" hidden="1" x14ac:dyDescent="0.2">
      <c r="A168" s="608"/>
      <c r="B168" s="609"/>
      <c r="C168" s="610"/>
      <c r="D168" s="610"/>
      <c r="E168" s="610"/>
      <c r="F168" s="610"/>
      <c r="G168" s="611"/>
      <c r="H168" s="611"/>
      <c r="I168" s="611"/>
      <c r="J168" s="2071"/>
      <c r="K168" s="611"/>
      <c r="L168" s="612"/>
      <c r="M168" s="137"/>
      <c r="N168" s="613"/>
      <c r="O168" s="102"/>
      <c r="P168" s="102"/>
      <c r="Q168" s="102"/>
    </row>
    <row r="169" spans="1:18" hidden="1" x14ac:dyDescent="0.2">
      <c r="A169" s="608"/>
      <c r="B169" s="609"/>
      <c r="C169" s="610"/>
      <c r="D169" s="610"/>
      <c r="E169" s="610"/>
      <c r="F169" s="610"/>
      <c r="G169" s="611"/>
      <c r="H169" s="611"/>
      <c r="I169" s="611"/>
      <c r="J169" s="2071"/>
      <c r="K169" s="611"/>
      <c r="L169" s="612"/>
      <c r="M169" s="137"/>
      <c r="N169" s="613"/>
      <c r="O169" s="102"/>
      <c r="P169" s="102"/>
      <c r="Q169" s="102"/>
    </row>
    <row r="170" spans="1:18" hidden="1" x14ac:dyDescent="0.2">
      <c r="A170" s="608"/>
      <c r="B170" s="609"/>
      <c r="C170" s="610"/>
      <c r="D170" s="610"/>
      <c r="E170" s="610"/>
      <c r="F170" s="610"/>
      <c r="G170" s="611"/>
      <c r="H170" s="611"/>
      <c r="I170" s="611"/>
      <c r="J170" s="2071"/>
      <c r="K170" s="611"/>
      <c r="L170" s="612"/>
      <c r="M170" s="137"/>
      <c r="N170" s="613"/>
      <c r="O170" s="102"/>
      <c r="P170" s="102"/>
      <c r="Q170" s="102"/>
    </row>
    <row r="171" spans="1:18" hidden="1" x14ac:dyDescent="0.2">
      <c r="A171" s="608"/>
      <c r="B171" s="609"/>
      <c r="C171" s="610"/>
      <c r="D171" s="610"/>
      <c r="E171" s="610"/>
      <c r="F171" s="610"/>
      <c r="G171" s="611"/>
      <c r="H171" s="611"/>
      <c r="I171" s="611"/>
      <c r="J171" s="2071"/>
      <c r="K171" s="611"/>
      <c r="L171" s="612"/>
      <c r="M171" s="137"/>
      <c r="N171" s="613"/>
      <c r="O171" s="102"/>
      <c r="P171" s="102"/>
      <c r="Q171" s="102"/>
    </row>
    <row r="172" spans="1:18" hidden="1" x14ac:dyDescent="0.2">
      <c r="A172" s="608"/>
      <c r="B172" s="609"/>
      <c r="C172" s="610"/>
      <c r="D172" s="610"/>
      <c r="E172" s="610"/>
      <c r="F172" s="610"/>
      <c r="G172" s="611"/>
      <c r="H172" s="611"/>
      <c r="I172" s="611"/>
      <c r="J172" s="2071"/>
      <c r="K172" s="611"/>
      <c r="L172" s="612"/>
      <c r="M172" s="137"/>
      <c r="N172" s="613"/>
      <c r="O172" s="102"/>
      <c r="P172" s="102"/>
      <c r="Q172" s="102"/>
    </row>
    <row r="173" spans="1:18" hidden="1" x14ac:dyDescent="0.2">
      <c r="A173" s="608"/>
      <c r="B173" s="609"/>
      <c r="C173" s="610"/>
      <c r="D173" s="610"/>
      <c r="E173" s="610"/>
      <c r="F173" s="610"/>
      <c r="G173" s="611"/>
      <c r="H173" s="611"/>
      <c r="I173" s="611"/>
      <c r="J173" s="2071"/>
      <c r="K173" s="611"/>
      <c r="L173" s="612"/>
      <c r="M173" s="137"/>
      <c r="N173" s="613"/>
      <c r="O173" s="102"/>
      <c r="P173" s="102"/>
      <c r="Q173" s="102"/>
    </row>
    <row r="174" spans="1:18" hidden="1" x14ac:dyDescent="0.2">
      <c r="A174" s="608"/>
      <c r="B174" s="609"/>
      <c r="C174" s="610"/>
      <c r="D174" s="610"/>
      <c r="E174" s="610"/>
      <c r="F174" s="610"/>
      <c r="G174" s="611"/>
      <c r="H174" s="611"/>
      <c r="I174" s="611"/>
      <c r="J174" s="2071"/>
      <c r="K174" s="611"/>
      <c r="L174" s="612"/>
      <c r="M174" s="137"/>
      <c r="N174" s="613"/>
      <c r="O174" s="102"/>
      <c r="P174" s="102"/>
      <c r="Q174" s="102"/>
    </row>
    <row r="175" spans="1:18" hidden="1" x14ac:dyDescent="0.2">
      <c r="A175" s="608"/>
      <c r="B175" s="609"/>
      <c r="C175" s="610"/>
      <c r="D175" s="610"/>
      <c r="E175" s="610"/>
      <c r="F175" s="610"/>
      <c r="G175" s="611"/>
      <c r="H175" s="611"/>
      <c r="I175" s="611"/>
      <c r="J175" s="2071"/>
      <c r="K175" s="611"/>
      <c r="L175" s="612"/>
      <c r="M175" s="137"/>
      <c r="N175" s="613"/>
      <c r="O175" s="102"/>
      <c r="P175" s="102"/>
      <c r="Q175" s="102"/>
    </row>
    <row r="176" spans="1:18" hidden="1" x14ac:dyDescent="0.2">
      <c r="A176" s="608"/>
      <c r="B176" s="609"/>
      <c r="C176" s="610"/>
      <c r="D176" s="610"/>
      <c r="E176" s="610"/>
      <c r="F176" s="610"/>
      <c r="G176" s="611"/>
      <c r="H176" s="611"/>
      <c r="I176" s="611"/>
      <c r="J176" s="2071"/>
      <c r="K176" s="611"/>
      <c r="L176" s="612"/>
      <c r="M176" s="137"/>
      <c r="N176" s="613"/>
      <c r="O176" s="102"/>
      <c r="P176" s="102"/>
      <c r="Q176" s="102"/>
    </row>
    <row r="177" spans="1:18" hidden="1" x14ac:dyDescent="0.2">
      <c r="A177" s="608"/>
      <c r="B177" s="609"/>
      <c r="C177" s="610"/>
      <c r="D177" s="610"/>
      <c r="E177" s="610"/>
      <c r="F177" s="610"/>
      <c r="G177" s="611"/>
      <c r="H177" s="611"/>
      <c r="I177" s="611"/>
      <c r="J177" s="2071"/>
      <c r="K177" s="611"/>
      <c r="L177" s="612"/>
      <c r="M177" s="137"/>
      <c r="N177" s="613"/>
      <c r="O177" s="102"/>
      <c r="P177" s="102"/>
      <c r="Q177" s="102"/>
    </row>
    <row r="178" spans="1:18" hidden="1" x14ac:dyDescent="0.2">
      <c r="A178" s="608"/>
      <c r="B178" s="609"/>
      <c r="C178" s="610"/>
      <c r="D178" s="610"/>
      <c r="E178" s="610"/>
      <c r="F178" s="610"/>
      <c r="G178" s="611"/>
      <c r="H178" s="611"/>
      <c r="I178" s="611"/>
      <c r="J178" s="2071"/>
      <c r="K178" s="611"/>
      <c r="L178" s="612"/>
      <c r="M178" s="137"/>
      <c r="N178" s="613"/>
      <c r="O178" s="102"/>
      <c r="P178" s="102"/>
      <c r="Q178" s="102"/>
    </row>
    <row r="179" spans="1:18" hidden="1" x14ac:dyDescent="0.2">
      <c r="A179" s="608"/>
      <c r="B179" s="609"/>
      <c r="C179" s="610"/>
      <c r="D179" s="610"/>
      <c r="E179" s="610"/>
      <c r="F179" s="610"/>
      <c r="G179" s="611"/>
      <c r="H179" s="611"/>
      <c r="I179" s="611"/>
      <c r="J179" s="2071"/>
      <c r="K179" s="611"/>
      <c r="L179" s="612"/>
      <c r="M179" s="137"/>
      <c r="N179" s="613"/>
      <c r="O179" s="102"/>
      <c r="P179" s="102"/>
      <c r="Q179" s="102"/>
    </row>
    <row r="180" spans="1:18" x14ac:dyDescent="0.2">
      <c r="A180" s="608"/>
      <c r="B180" s="609"/>
      <c r="C180" s="610"/>
      <c r="D180" s="610"/>
      <c r="E180" s="610"/>
      <c r="F180" s="610"/>
      <c r="G180" s="611"/>
      <c r="H180" s="611"/>
      <c r="I180" s="611"/>
      <c r="J180" s="2071"/>
      <c r="K180" s="611"/>
      <c r="L180" s="612"/>
      <c r="M180" s="137"/>
      <c r="N180" s="613"/>
      <c r="O180" s="102"/>
      <c r="P180" s="102"/>
      <c r="Q180" s="102"/>
    </row>
    <row r="181" spans="1:18" ht="13.5" thickBot="1" x14ac:dyDescent="0.25">
      <c r="A181" s="598"/>
      <c r="B181" s="65"/>
      <c r="C181" s="134"/>
      <c r="D181" s="134"/>
      <c r="E181" s="134"/>
      <c r="F181" s="134"/>
      <c r="G181" s="3705" t="s">
        <v>530</v>
      </c>
      <c r="H181" s="3705"/>
      <c r="I181" s="3705"/>
      <c r="J181" s="3705"/>
      <c r="K181" s="3705"/>
      <c r="L181" s="3705"/>
      <c r="M181" s="614"/>
      <c r="N181" s="614"/>
      <c r="O181" s="614"/>
      <c r="P181" s="614"/>
      <c r="Q181" s="614"/>
    </row>
    <row r="182" spans="1:18" ht="13.5" hidden="1" thickBot="1" x14ac:dyDescent="0.25">
      <c r="A182" s="598"/>
      <c r="B182" s="65"/>
      <c r="C182" s="134"/>
      <c r="D182" s="134"/>
      <c r="E182" s="134"/>
      <c r="F182" s="134"/>
      <c r="G182" s="599"/>
      <c r="H182" s="599"/>
      <c r="I182" s="599"/>
      <c r="J182" s="2071"/>
      <c r="K182" s="599"/>
      <c r="L182" s="600"/>
      <c r="M182" s="137"/>
    </row>
    <row r="183" spans="1:18" s="592" customFormat="1" ht="23.25" thickBot="1" x14ac:dyDescent="0.25">
      <c r="A183" s="2540" t="s">
        <v>433</v>
      </c>
      <c r="B183" s="2541"/>
      <c r="C183" s="1407"/>
      <c r="D183" s="2050">
        <v>2018</v>
      </c>
      <c r="E183" s="3174" t="s">
        <v>825</v>
      </c>
      <c r="F183" s="3175" t="s">
        <v>958</v>
      </c>
      <c r="G183" s="1408">
        <v>2021</v>
      </c>
      <c r="H183" s="2343" t="s">
        <v>873</v>
      </c>
      <c r="I183" s="2343" t="s">
        <v>929</v>
      </c>
      <c r="J183" s="3113">
        <v>2022</v>
      </c>
      <c r="K183" s="2344">
        <v>2023</v>
      </c>
      <c r="L183" s="2345">
        <v>2024</v>
      </c>
      <c r="M183" s="589"/>
      <c r="N183" s="590"/>
      <c r="O183" s="591"/>
      <c r="P183" s="526"/>
      <c r="Q183" s="527"/>
    </row>
    <row r="184" spans="1:18" s="17" customFormat="1" ht="13.5" thickBot="1" x14ac:dyDescent="0.25">
      <c r="A184" s="2409" t="s">
        <v>531</v>
      </c>
      <c r="B184" s="2596"/>
      <c r="C184" s="2596"/>
      <c r="D184" s="2597">
        <f>D185+D187+D188+D189+D195+D200+D201+D202+D203+D186</f>
        <v>111230</v>
      </c>
      <c r="E184" s="2589">
        <f>SUM(E185,E187,E188,E189,E195,E200,E201,E202,E203)+E186</f>
        <v>106479</v>
      </c>
      <c r="F184" s="2589">
        <f>F185+F186+F187+F188+F189+F195+F200+F201+F202+F203</f>
        <v>117427</v>
      </c>
      <c r="G184" s="2589">
        <f>SUM(G185,G187,G188,G189,G195,G200,G201,G202,G203)+G186</f>
        <v>115760</v>
      </c>
      <c r="H184" s="2415">
        <f>SUM(H185,H187,H188,H189,H195,H200,H201,H202,H203)+H186</f>
        <v>129710</v>
      </c>
      <c r="I184" s="2416">
        <f>SUM(I185,I187,I188,I189,I195,I200,I201,I202,I203)+I186</f>
        <v>147920</v>
      </c>
      <c r="J184" s="2530">
        <f>SUM(J185,J187,J188,J189,J195,J200,J201,J202,J203)+J186</f>
        <v>133760</v>
      </c>
      <c r="K184" s="2418">
        <f>SUM(K185,K187,K188,K189,K195,K200,K201,K202,K203)</f>
        <v>128690</v>
      </c>
      <c r="L184" s="2444">
        <f>SUM(L185,L187,L188,L189,L195,L200,L201,L202,L203)</f>
        <v>128690</v>
      </c>
      <c r="M184" s="602"/>
      <c r="N184" s="594"/>
      <c r="O184" s="530"/>
      <c r="P184" s="530"/>
      <c r="Q184" s="530"/>
    </row>
    <row r="185" spans="1:18" s="20" customFormat="1" x14ac:dyDescent="0.2">
      <c r="A185" s="565">
        <v>610</v>
      </c>
      <c r="B185" s="566"/>
      <c r="C185" s="2595" t="s">
        <v>449</v>
      </c>
      <c r="D185" s="1643">
        <v>58000</v>
      </c>
      <c r="E185" s="1854">
        <v>58675</v>
      </c>
      <c r="F185" s="1643">
        <v>71299</v>
      </c>
      <c r="G185" s="2898">
        <v>73000</v>
      </c>
      <c r="H185" s="3020">
        <v>84000</v>
      </c>
      <c r="I185" s="2358">
        <v>84000</v>
      </c>
      <c r="J185" s="2358">
        <v>84000</v>
      </c>
      <c r="K185" s="2082">
        <v>80000</v>
      </c>
      <c r="L185" s="1376">
        <v>80000</v>
      </c>
      <c r="M185" s="89"/>
      <c r="O185" s="73"/>
      <c r="P185" s="73"/>
      <c r="Q185" s="73"/>
      <c r="R185" s="16"/>
    </row>
    <row r="186" spans="1:18" s="20" customFormat="1" x14ac:dyDescent="0.2">
      <c r="A186" s="704">
        <v>610</v>
      </c>
      <c r="B186" s="708"/>
      <c r="C186" s="1133" t="s">
        <v>649</v>
      </c>
      <c r="D186" s="1433">
        <v>15000</v>
      </c>
      <c r="E186" s="1835">
        <v>0</v>
      </c>
      <c r="F186" s="1433">
        <v>0</v>
      </c>
      <c r="G186" s="2899">
        <v>0</v>
      </c>
      <c r="H186" s="3021">
        <v>0</v>
      </c>
      <c r="I186" s="2322">
        <v>0</v>
      </c>
      <c r="J186" s="2322">
        <v>0</v>
      </c>
      <c r="K186" s="2299">
        <v>0</v>
      </c>
      <c r="L186" s="1413">
        <v>0</v>
      </c>
      <c r="M186" s="89"/>
      <c r="O186" s="73"/>
      <c r="P186" s="73"/>
      <c r="Q186" s="73"/>
      <c r="R186" s="16"/>
    </row>
    <row r="187" spans="1:18" x14ac:dyDescent="0.2">
      <c r="A187" s="42">
        <v>620</v>
      </c>
      <c r="B187" s="43"/>
      <c r="C187" s="1134" t="s">
        <v>194</v>
      </c>
      <c r="D187" s="1433">
        <v>18000</v>
      </c>
      <c r="E187" s="1835">
        <v>20699</v>
      </c>
      <c r="F187" s="1433">
        <v>25688</v>
      </c>
      <c r="G187" s="2899">
        <v>26050</v>
      </c>
      <c r="H187" s="3021">
        <v>29000</v>
      </c>
      <c r="I187" s="2322">
        <v>29000</v>
      </c>
      <c r="J187" s="2322">
        <v>29000</v>
      </c>
      <c r="K187" s="2062">
        <v>27180</v>
      </c>
      <c r="L187" s="1374">
        <v>27180</v>
      </c>
      <c r="M187" s="89"/>
      <c r="O187" s="73"/>
      <c r="P187" s="73"/>
      <c r="Q187" s="73"/>
    </row>
    <row r="188" spans="1:18" x14ac:dyDescent="0.2">
      <c r="A188" s="42">
        <v>632</v>
      </c>
      <c r="B188" s="43"/>
      <c r="C188" s="1134" t="s">
        <v>198</v>
      </c>
      <c r="D188" s="1433">
        <v>1600</v>
      </c>
      <c r="E188" s="1835">
        <v>622</v>
      </c>
      <c r="F188" s="1433">
        <v>592</v>
      </c>
      <c r="G188" s="2899">
        <v>750</v>
      </c>
      <c r="H188" s="3021">
        <v>750</v>
      </c>
      <c r="I188" s="2322">
        <v>750</v>
      </c>
      <c r="J188" s="2322">
        <v>750</v>
      </c>
      <c r="K188" s="2062">
        <v>750</v>
      </c>
      <c r="L188" s="1374">
        <v>750</v>
      </c>
      <c r="M188" s="89"/>
      <c r="O188" s="73"/>
      <c r="P188" s="65"/>
      <c r="Q188" s="65"/>
    </row>
    <row r="189" spans="1:18" x14ac:dyDescent="0.2">
      <c r="A189" s="63">
        <v>633</v>
      </c>
      <c r="B189" s="85"/>
      <c r="C189" s="1135" t="s">
        <v>200</v>
      </c>
      <c r="D189" s="1638">
        <f t="shared" ref="D189:L189" si="19">SUM(D190:D194)</f>
        <v>14050</v>
      </c>
      <c r="E189" s="1829">
        <f t="shared" si="19"/>
        <v>9894</v>
      </c>
      <c r="F189" s="1638">
        <f t="shared" si="19"/>
        <v>8979</v>
      </c>
      <c r="G189" s="2903">
        <f t="shared" ref="G189" si="20">SUM(G190:G194)</f>
        <v>9400</v>
      </c>
      <c r="H189" s="3031">
        <f>SUM(H190:H194)</f>
        <v>9400</v>
      </c>
      <c r="I189" s="2322">
        <f>SUM(I190:I194)</f>
        <v>28960</v>
      </c>
      <c r="J189" s="2322">
        <f>SUM(J190:J194)</f>
        <v>14800</v>
      </c>
      <c r="K189" s="2062">
        <f t="shared" si="19"/>
        <v>14200</v>
      </c>
      <c r="L189" s="1359">
        <f t="shared" si="19"/>
        <v>14200</v>
      </c>
      <c r="M189" s="89"/>
      <c r="N189" s="89"/>
      <c r="O189" s="89"/>
      <c r="P189" s="89"/>
      <c r="Q189" s="89"/>
    </row>
    <row r="190" spans="1:18" x14ac:dyDescent="0.2">
      <c r="A190" s="42">
        <v>633</v>
      </c>
      <c r="B190" s="43" t="s">
        <v>111</v>
      </c>
      <c r="C190" s="1134" t="s">
        <v>532</v>
      </c>
      <c r="D190" s="1641">
        <v>1200</v>
      </c>
      <c r="E190" s="1855">
        <v>866</v>
      </c>
      <c r="F190" s="1641">
        <v>985</v>
      </c>
      <c r="G190" s="2864">
        <v>1200</v>
      </c>
      <c r="H190" s="3023">
        <v>1200</v>
      </c>
      <c r="I190" s="2322">
        <v>1200</v>
      </c>
      <c r="J190" s="2322">
        <v>1200</v>
      </c>
      <c r="K190" s="2062">
        <v>1200</v>
      </c>
      <c r="L190" s="1360">
        <v>1200</v>
      </c>
      <c r="M190" s="89"/>
      <c r="N190" s="89"/>
      <c r="O190" s="89"/>
      <c r="P190" s="89"/>
      <c r="Q190" s="89"/>
    </row>
    <row r="191" spans="1:18" x14ac:dyDescent="0.2">
      <c r="A191" s="555">
        <v>633</v>
      </c>
      <c r="B191" s="566" t="s">
        <v>125</v>
      </c>
      <c r="C191" s="1136" t="s">
        <v>357</v>
      </c>
      <c r="D191" s="1641">
        <v>9000</v>
      </c>
      <c r="E191" s="1855">
        <v>6225</v>
      </c>
      <c r="F191" s="1641">
        <v>5136</v>
      </c>
      <c r="G191" s="2864">
        <v>5200</v>
      </c>
      <c r="H191" s="3023">
        <v>5200</v>
      </c>
      <c r="I191" s="2322">
        <v>24160</v>
      </c>
      <c r="J191" s="2322">
        <v>10000</v>
      </c>
      <c r="K191" s="2062">
        <v>10000</v>
      </c>
      <c r="L191" s="1360">
        <v>10000</v>
      </c>
      <c r="M191" s="581" t="s">
        <v>901</v>
      </c>
      <c r="O191" s="65"/>
      <c r="P191" s="603"/>
      <c r="Q191" s="603"/>
    </row>
    <row r="192" spans="1:18" x14ac:dyDescent="0.2">
      <c r="A192" s="84">
        <v>633</v>
      </c>
      <c r="B192" s="85" t="s">
        <v>463</v>
      </c>
      <c r="C192" s="1135" t="s">
        <v>533</v>
      </c>
      <c r="D192" s="1641">
        <v>850</v>
      </c>
      <c r="E192" s="1855">
        <v>685</v>
      </c>
      <c r="F192" s="1641">
        <v>1120</v>
      </c>
      <c r="G192" s="2864">
        <v>1000</v>
      </c>
      <c r="H192" s="3023">
        <v>1000</v>
      </c>
      <c r="I192" s="2322">
        <v>1000</v>
      </c>
      <c r="J192" s="2322">
        <v>1000</v>
      </c>
      <c r="K192" s="2062">
        <v>1000</v>
      </c>
      <c r="L192" s="1360">
        <v>1000</v>
      </c>
      <c r="M192" s="581"/>
      <c r="O192" s="65"/>
      <c r="P192" s="603"/>
      <c r="Q192" s="603"/>
    </row>
    <row r="193" spans="1:18" x14ac:dyDescent="0.2">
      <c r="A193" s="728">
        <v>633</v>
      </c>
      <c r="B193" s="729" t="s">
        <v>463</v>
      </c>
      <c r="C193" s="728" t="s">
        <v>656</v>
      </c>
      <c r="D193" s="2231">
        <v>0</v>
      </c>
      <c r="E193" s="1856">
        <v>0</v>
      </c>
      <c r="F193" s="2231">
        <v>0</v>
      </c>
      <c r="G193" s="2907">
        <v>0</v>
      </c>
      <c r="H193" s="3033">
        <v>0</v>
      </c>
      <c r="I193" s="2322">
        <v>0</v>
      </c>
      <c r="J193" s="2322">
        <v>0</v>
      </c>
      <c r="K193" s="2288">
        <v>0</v>
      </c>
      <c r="L193" s="1415">
        <v>0</v>
      </c>
      <c r="M193" s="581"/>
      <c r="O193" s="65"/>
      <c r="P193" s="603"/>
      <c r="Q193" s="603"/>
    </row>
    <row r="194" spans="1:18" x14ac:dyDescent="0.2">
      <c r="A194" s="711">
        <v>633</v>
      </c>
      <c r="B194" s="712" t="s">
        <v>491</v>
      </c>
      <c r="C194" s="711" t="s">
        <v>534</v>
      </c>
      <c r="D194" s="1641">
        <v>3000</v>
      </c>
      <c r="E194" s="1855">
        <v>2118</v>
      </c>
      <c r="F194" s="1641">
        <v>1738</v>
      </c>
      <c r="G194" s="2864">
        <v>2000</v>
      </c>
      <c r="H194" s="3023">
        <v>2000</v>
      </c>
      <c r="I194" s="2322">
        <v>2600</v>
      </c>
      <c r="J194" s="2322">
        <v>2600</v>
      </c>
      <c r="K194" s="2062">
        <v>2000</v>
      </c>
      <c r="L194" s="1360">
        <v>2000</v>
      </c>
      <c r="M194" s="581"/>
      <c r="O194" s="65"/>
      <c r="P194" s="603"/>
      <c r="Q194" s="603"/>
    </row>
    <row r="195" spans="1:18" x14ac:dyDescent="0.2">
      <c r="A195" s="113">
        <v>634</v>
      </c>
      <c r="B195" s="53"/>
      <c r="C195" s="1137" t="s">
        <v>202</v>
      </c>
      <c r="D195" s="1433">
        <f t="shared" ref="D195:F195" si="21">SUM(D196,D197,D198)</f>
        <v>2718</v>
      </c>
      <c r="E195" s="1835">
        <f t="shared" si="21"/>
        <v>7189</v>
      </c>
      <c r="F195" s="1433">
        <f t="shared" si="21"/>
        <v>4290</v>
      </c>
      <c r="G195" s="2899">
        <f t="shared" ref="G195:H195" si="22">SUM(G196,G197,G198)</f>
        <v>2100</v>
      </c>
      <c r="H195" s="3021">
        <f t="shared" si="22"/>
        <v>2100</v>
      </c>
      <c r="I195" s="2322">
        <f>SUM(I196,I197,I198)</f>
        <v>750</v>
      </c>
      <c r="J195" s="2322">
        <f>SUM(J196,J197,J198)</f>
        <v>750</v>
      </c>
      <c r="K195" s="2062">
        <f>SUM(K196,K197,K198)+K199</f>
        <v>2100</v>
      </c>
      <c r="L195" s="1374">
        <f>SUM(L196,L197,L198)+L199</f>
        <v>2100</v>
      </c>
      <c r="M195" s="89"/>
      <c r="O195" s="73"/>
      <c r="P195" s="73"/>
      <c r="Q195" s="73"/>
    </row>
    <row r="196" spans="1:18" x14ac:dyDescent="0.2">
      <c r="A196" s="42">
        <v>634</v>
      </c>
      <c r="B196" s="43" t="s">
        <v>94</v>
      </c>
      <c r="C196" s="1134" t="s">
        <v>518</v>
      </c>
      <c r="D196" s="1641">
        <v>1500</v>
      </c>
      <c r="E196" s="1855">
        <v>1010</v>
      </c>
      <c r="F196" s="1641">
        <v>628</v>
      </c>
      <c r="G196" s="2864">
        <v>1500</v>
      </c>
      <c r="H196" s="3023">
        <v>1500</v>
      </c>
      <c r="I196" s="2322">
        <v>150</v>
      </c>
      <c r="J196" s="2322">
        <v>150</v>
      </c>
      <c r="K196" s="2062">
        <v>1500</v>
      </c>
      <c r="L196" s="1360">
        <v>1500</v>
      </c>
      <c r="M196" s="581"/>
      <c r="O196" s="73"/>
      <c r="P196" s="603"/>
      <c r="Q196" s="603"/>
    </row>
    <row r="197" spans="1:18" x14ac:dyDescent="0.2">
      <c r="A197" s="42">
        <v>634</v>
      </c>
      <c r="B197" s="43" t="s">
        <v>92</v>
      </c>
      <c r="C197" s="1134" t="s">
        <v>520</v>
      </c>
      <c r="D197" s="1641">
        <v>18</v>
      </c>
      <c r="E197" s="1855">
        <v>77</v>
      </c>
      <c r="F197" s="1641">
        <v>49</v>
      </c>
      <c r="G197" s="2864">
        <v>100</v>
      </c>
      <c r="H197" s="3023">
        <v>100</v>
      </c>
      <c r="I197" s="2322">
        <v>100</v>
      </c>
      <c r="J197" s="2322">
        <v>100</v>
      </c>
      <c r="K197" s="2062">
        <v>100</v>
      </c>
      <c r="L197" s="1360">
        <v>100</v>
      </c>
      <c r="M197" s="581"/>
      <c r="O197" s="65"/>
      <c r="P197" s="603"/>
      <c r="Q197" s="603"/>
    </row>
    <row r="198" spans="1:18" x14ac:dyDescent="0.2">
      <c r="A198" s="42">
        <v>634</v>
      </c>
      <c r="B198" s="43" t="s">
        <v>97</v>
      </c>
      <c r="C198" s="1134" t="s">
        <v>519</v>
      </c>
      <c r="D198" s="1641">
        <v>1200</v>
      </c>
      <c r="E198" s="1855">
        <v>6102</v>
      </c>
      <c r="F198" s="1641">
        <v>3613</v>
      </c>
      <c r="G198" s="2864">
        <v>500</v>
      </c>
      <c r="H198" s="3023">
        <v>500</v>
      </c>
      <c r="I198" s="2322">
        <v>500</v>
      </c>
      <c r="J198" s="2322">
        <v>500</v>
      </c>
      <c r="K198" s="2062">
        <v>500</v>
      </c>
      <c r="L198" s="1360">
        <v>500</v>
      </c>
      <c r="M198" s="581"/>
      <c r="O198" s="73"/>
      <c r="P198" s="603"/>
      <c r="Q198" s="603"/>
    </row>
    <row r="199" spans="1:18" x14ac:dyDescent="0.2">
      <c r="A199" s="63"/>
      <c r="B199" s="85"/>
      <c r="C199" s="1135" t="s">
        <v>827</v>
      </c>
      <c r="D199" s="1641"/>
      <c r="E199" s="1855"/>
      <c r="F199" s="1641"/>
      <c r="G199" s="2864"/>
      <c r="H199" s="3023"/>
      <c r="I199" s="2322"/>
      <c r="J199" s="2322"/>
      <c r="K199" s="2288">
        <v>0</v>
      </c>
      <c r="L199" s="1360"/>
      <c r="M199" s="581"/>
      <c r="O199" s="73"/>
      <c r="P199" s="603"/>
      <c r="Q199" s="603"/>
    </row>
    <row r="200" spans="1:18" x14ac:dyDescent="0.2">
      <c r="A200" s="84">
        <v>635</v>
      </c>
      <c r="B200" s="85"/>
      <c r="C200" s="1135" t="s">
        <v>294</v>
      </c>
      <c r="D200" s="1433">
        <v>1000</v>
      </c>
      <c r="E200" s="1835">
        <v>2599</v>
      </c>
      <c r="F200" s="1433">
        <v>2964</v>
      </c>
      <c r="G200" s="2899">
        <v>3500</v>
      </c>
      <c r="H200" s="3021">
        <v>3500</v>
      </c>
      <c r="I200" s="2322">
        <v>3500</v>
      </c>
      <c r="J200" s="2322">
        <v>3500</v>
      </c>
      <c r="K200" s="2062">
        <v>3500</v>
      </c>
      <c r="L200" s="1374">
        <v>3500</v>
      </c>
      <c r="M200" s="89"/>
      <c r="O200" s="73"/>
      <c r="P200" s="65"/>
      <c r="Q200" s="65"/>
    </row>
    <row r="201" spans="1:18" x14ac:dyDescent="0.2">
      <c r="A201" s="35">
        <v>637</v>
      </c>
      <c r="B201" s="43"/>
      <c r="C201" s="1134" t="s">
        <v>535</v>
      </c>
      <c r="D201" s="1433">
        <v>862</v>
      </c>
      <c r="E201" s="1835">
        <v>6801</v>
      </c>
      <c r="F201" s="1433">
        <v>1935</v>
      </c>
      <c r="G201" s="2899">
        <v>960</v>
      </c>
      <c r="H201" s="3021">
        <v>960</v>
      </c>
      <c r="I201" s="2322">
        <v>960</v>
      </c>
      <c r="J201" s="2322">
        <v>960</v>
      </c>
      <c r="K201" s="2062">
        <v>960</v>
      </c>
      <c r="L201" s="1374">
        <v>960</v>
      </c>
      <c r="M201" s="89"/>
      <c r="O201" s="65"/>
      <c r="P201" s="65"/>
      <c r="Q201" s="65"/>
    </row>
    <row r="202" spans="1:18" x14ac:dyDescent="0.2">
      <c r="A202" s="35">
        <v>642</v>
      </c>
      <c r="B202" s="43" t="s">
        <v>102</v>
      </c>
      <c r="C202" s="1134" t="s">
        <v>944</v>
      </c>
      <c r="D202" s="1433">
        <v>0</v>
      </c>
      <c r="E202" s="1835">
        <v>0</v>
      </c>
      <c r="F202" s="1433">
        <v>1582</v>
      </c>
      <c r="G202" s="2899">
        <v>0</v>
      </c>
      <c r="H202" s="3021">
        <v>0</v>
      </c>
      <c r="I202" s="2322">
        <v>0</v>
      </c>
      <c r="J202" s="2322">
        <v>0</v>
      </c>
      <c r="K202" s="2288">
        <v>0</v>
      </c>
      <c r="L202" s="1374">
        <v>0</v>
      </c>
      <c r="M202" s="89"/>
      <c r="O202" s="65"/>
      <c r="P202" s="65"/>
      <c r="Q202" s="65"/>
      <c r="R202" s="604"/>
    </row>
    <row r="203" spans="1:18" ht="13.5" thickBot="1" x14ac:dyDescent="0.25">
      <c r="A203" s="113">
        <v>642</v>
      </c>
      <c r="B203" s="53" t="s">
        <v>491</v>
      </c>
      <c r="C203" s="1137" t="s">
        <v>303</v>
      </c>
      <c r="D203" s="1642">
        <v>0</v>
      </c>
      <c r="E203" s="1857">
        <v>0</v>
      </c>
      <c r="F203" s="1642">
        <v>98</v>
      </c>
      <c r="G203" s="2908">
        <v>0</v>
      </c>
      <c r="H203" s="3034">
        <v>0</v>
      </c>
      <c r="I203" s="2357">
        <v>0</v>
      </c>
      <c r="J203" s="2357">
        <v>0</v>
      </c>
      <c r="K203" s="2300">
        <v>0</v>
      </c>
      <c r="L203" s="1400">
        <v>0</v>
      </c>
    </row>
    <row r="204" spans="1:18" s="17" customFormat="1" ht="12.75" customHeight="1" thickBot="1" x14ac:dyDescent="0.25">
      <c r="A204" s="2409" t="s">
        <v>536</v>
      </c>
      <c r="B204" s="2596"/>
      <c r="C204" s="2596"/>
      <c r="D204" s="2411">
        <f>SUM(D205:D213)-D206-D208</f>
        <v>12695</v>
      </c>
      <c r="E204" s="2442">
        <f>E205+E207+E211+E209+E210+E213+E212</f>
        <v>24633</v>
      </c>
      <c r="F204" s="2442">
        <f>F205+F207+F211+F210+F212+F213+F209</f>
        <v>16100</v>
      </c>
      <c r="G204" s="2412">
        <f>G205+G207+G211+G209+G210+G213+G212+G206</f>
        <v>15900</v>
      </c>
      <c r="H204" s="2415">
        <f>H205+H207+H211+H210+H212+H213+H209</f>
        <v>15900</v>
      </c>
      <c r="I204" s="2416">
        <f>I205+I207+I211+I210+I212+I213+I209</f>
        <v>15050</v>
      </c>
      <c r="J204" s="2529">
        <f>J205+J207+J211+J210+J212+J213+J209</f>
        <v>16650</v>
      </c>
      <c r="K204" s="2418">
        <f>K205+K207+K211+K209+K210+K212+K213</f>
        <v>15050</v>
      </c>
      <c r="L204" s="2444">
        <f>L205+L207+L211+L209+L210+L212+L213</f>
        <v>15050</v>
      </c>
      <c r="M204" s="602"/>
      <c r="N204" s="584"/>
      <c r="O204" s="530"/>
      <c r="P204" s="530"/>
      <c r="Q204" s="530"/>
      <c r="R204" s="560"/>
    </row>
    <row r="205" spans="1:18" x14ac:dyDescent="0.2">
      <c r="A205" s="565">
        <v>610</v>
      </c>
      <c r="B205" s="566"/>
      <c r="C205" s="2595" t="s">
        <v>449</v>
      </c>
      <c r="D205" s="1643">
        <v>8700</v>
      </c>
      <c r="E205" s="1854">
        <v>18202</v>
      </c>
      <c r="F205" s="1643">
        <v>11814</v>
      </c>
      <c r="G205" s="877">
        <v>11000</v>
      </c>
      <c r="H205" s="2898">
        <v>11000</v>
      </c>
      <c r="I205" s="2358">
        <v>11000</v>
      </c>
      <c r="J205" s="2358">
        <v>11000</v>
      </c>
      <c r="K205" s="3115">
        <v>11000</v>
      </c>
      <c r="L205" s="3115">
        <v>11000</v>
      </c>
      <c r="M205" s="89"/>
      <c r="O205" s="73"/>
      <c r="P205" s="65"/>
      <c r="Q205" s="65"/>
    </row>
    <row r="206" spans="1:18" s="20" customFormat="1" x14ac:dyDescent="0.2">
      <c r="A206" s="533">
        <v>610</v>
      </c>
      <c r="B206" s="558"/>
      <c r="C206" s="1142" t="s">
        <v>828</v>
      </c>
      <c r="D206" s="1844">
        <v>0</v>
      </c>
      <c r="E206" s="1858">
        <v>8320</v>
      </c>
      <c r="F206" s="1846">
        <v>0</v>
      </c>
      <c r="G206" s="2173">
        <v>0</v>
      </c>
      <c r="H206" s="2861">
        <v>0</v>
      </c>
      <c r="I206" s="2322">
        <v>0</v>
      </c>
      <c r="J206" s="2322">
        <v>0</v>
      </c>
      <c r="K206" s="3116">
        <v>0</v>
      </c>
      <c r="L206" s="3116">
        <v>0</v>
      </c>
      <c r="M206" s="573"/>
      <c r="O206" s="606"/>
      <c r="P206" s="528"/>
      <c r="Q206" s="615"/>
      <c r="R206" s="16"/>
    </row>
    <row r="207" spans="1:18" ht="12.75" customHeight="1" x14ac:dyDescent="0.2">
      <c r="A207" s="42">
        <v>620</v>
      </c>
      <c r="B207" s="43"/>
      <c r="C207" s="1134" t="s">
        <v>194</v>
      </c>
      <c r="D207" s="1433">
        <v>3085</v>
      </c>
      <c r="E207" s="1835">
        <v>6226</v>
      </c>
      <c r="F207" s="1433">
        <v>3969</v>
      </c>
      <c r="G207" s="2169">
        <v>3800</v>
      </c>
      <c r="H207" s="2899">
        <v>3800</v>
      </c>
      <c r="I207" s="2322">
        <v>3800</v>
      </c>
      <c r="J207" s="2322">
        <v>3800</v>
      </c>
      <c r="K207" s="3116">
        <v>3800</v>
      </c>
      <c r="L207" s="3116">
        <v>3800</v>
      </c>
      <c r="M207" s="89"/>
      <c r="O207" s="65"/>
      <c r="P207" s="65"/>
      <c r="Q207" s="65"/>
    </row>
    <row r="208" spans="1:18" ht="12.75" customHeight="1" x14ac:dyDescent="0.2">
      <c r="A208" s="533">
        <v>620</v>
      </c>
      <c r="B208" s="558"/>
      <c r="C208" s="2230" t="s">
        <v>537</v>
      </c>
      <c r="D208" s="1844">
        <v>0</v>
      </c>
      <c r="E208" s="1858">
        <v>0</v>
      </c>
      <c r="F208" s="1844">
        <v>0</v>
      </c>
      <c r="G208" s="2174">
        <v>0</v>
      </c>
      <c r="H208" s="2909">
        <v>0</v>
      </c>
      <c r="I208" s="2322">
        <v>0</v>
      </c>
      <c r="J208" s="2322">
        <v>0</v>
      </c>
      <c r="K208" s="3116">
        <v>0</v>
      </c>
      <c r="L208" s="3116">
        <v>0</v>
      </c>
      <c r="M208" s="573"/>
      <c r="O208" s="606"/>
      <c r="P208" s="528"/>
      <c r="Q208" s="615"/>
    </row>
    <row r="209" spans="1:18" ht="12.75" customHeight="1" x14ac:dyDescent="0.2">
      <c r="A209" s="42">
        <v>632</v>
      </c>
      <c r="B209" s="43"/>
      <c r="C209" s="1134" t="s">
        <v>657</v>
      </c>
      <c r="D209" s="1638">
        <v>110</v>
      </c>
      <c r="E209" s="1829">
        <v>96</v>
      </c>
      <c r="F209" s="1638">
        <v>72</v>
      </c>
      <c r="G209" s="2170">
        <v>100</v>
      </c>
      <c r="H209" s="2903">
        <v>100</v>
      </c>
      <c r="I209" s="2322">
        <v>100</v>
      </c>
      <c r="J209" s="2322">
        <v>100</v>
      </c>
      <c r="K209" s="3116">
        <v>100</v>
      </c>
      <c r="L209" s="3116">
        <v>100</v>
      </c>
      <c r="M209" s="573"/>
      <c r="O209" s="606"/>
      <c r="P209" s="528"/>
      <c r="Q209" s="615"/>
    </row>
    <row r="210" spans="1:18" ht="12.75" customHeight="1" x14ac:dyDescent="0.2">
      <c r="A210" s="533">
        <v>633</v>
      </c>
      <c r="B210" s="558"/>
      <c r="C210" s="2230" t="s">
        <v>538</v>
      </c>
      <c r="D210" s="1846">
        <v>0</v>
      </c>
      <c r="E210" s="1859">
        <v>0</v>
      </c>
      <c r="F210" s="1846">
        <v>0</v>
      </c>
      <c r="G210" s="2173">
        <v>0</v>
      </c>
      <c r="H210" s="2861">
        <v>0</v>
      </c>
      <c r="I210" s="2322">
        <v>0</v>
      </c>
      <c r="J210" s="2322">
        <v>0</v>
      </c>
      <c r="K210" s="3116">
        <v>0</v>
      </c>
      <c r="L210" s="3116">
        <v>0</v>
      </c>
      <c r="M210" s="573"/>
      <c r="O210" s="606"/>
      <c r="P210" s="528"/>
      <c r="Q210" s="616"/>
    </row>
    <row r="211" spans="1:18" x14ac:dyDescent="0.2">
      <c r="A211" s="42">
        <v>633</v>
      </c>
      <c r="B211" s="558"/>
      <c r="C211" s="1134" t="s">
        <v>247</v>
      </c>
      <c r="D211" s="1638">
        <v>800</v>
      </c>
      <c r="E211" s="1829">
        <v>109</v>
      </c>
      <c r="F211" s="1638">
        <v>245</v>
      </c>
      <c r="G211" s="2170">
        <v>1000</v>
      </c>
      <c r="H211" s="2903">
        <v>1000</v>
      </c>
      <c r="I211" s="2322">
        <v>150</v>
      </c>
      <c r="J211" s="2322">
        <v>150</v>
      </c>
      <c r="K211" s="3116">
        <v>150</v>
      </c>
      <c r="L211" s="3116">
        <v>150</v>
      </c>
      <c r="M211" s="89"/>
      <c r="O211" s="65"/>
      <c r="P211" s="65"/>
      <c r="Q211" s="65"/>
    </row>
    <row r="212" spans="1:18" x14ac:dyDescent="0.2">
      <c r="A212" s="63">
        <v>634</v>
      </c>
      <c r="B212" s="85"/>
      <c r="C212" s="1135" t="s">
        <v>202</v>
      </c>
      <c r="D212" s="1433">
        <v>0</v>
      </c>
      <c r="E212" s="1835">
        <v>0</v>
      </c>
      <c r="F212" s="1433">
        <v>0</v>
      </c>
      <c r="G212" s="880">
        <v>0</v>
      </c>
      <c r="H212" s="2899">
        <v>0</v>
      </c>
      <c r="I212" s="2322">
        <v>0</v>
      </c>
      <c r="J212" s="2322">
        <v>0</v>
      </c>
      <c r="K212" s="3116">
        <v>0</v>
      </c>
      <c r="L212" s="3116">
        <v>0</v>
      </c>
      <c r="M212" s="89"/>
      <c r="O212" s="65"/>
      <c r="P212" s="65"/>
      <c r="Q212" s="65"/>
    </row>
    <row r="213" spans="1:18" ht="13.5" thickBot="1" x14ac:dyDescent="0.25">
      <c r="A213" s="1453">
        <v>642</v>
      </c>
      <c r="B213" s="1453"/>
      <c r="C213" s="1126" t="s">
        <v>909</v>
      </c>
      <c r="D213" s="1433">
        <v>0</v>
      </c>
      <c r="E213" s="1835">
        <v>0</v>
      </c>
      <c r="F213" s="1433">
        <v>0</v>
      </c>
      <c r="G213" s="1530">
        <v>0</v>
      </c>
      <c r="H213" s="2977">
        <v>0</v>
      </c>
      <c r="I213" s="2322"/>
      <c r="J213" s="2322">
        <v>1600</v>
      </c>
      <c r="K213" s="3116"/>
      <c r="L213" s="3116"/>
      <c r="M213" s="89"/>
      <c r="O213" s="65"/>
      <c r="P213" s="65"/>
      <c r="Q213" s="65"/>
    </row>
    <row r="214" spans="1:18" ht="13.5" hidden="1" thickBot="1" x14ac:dyDescent="0.25">
      <c r="A214" s="2532"/>
      <c r="B214" s="2532"/>
      <c r="C214" s="2533"/>
      <c r="D214" s="2450"/>
      <c r="E214" s="2592"/>
      <c r="F214" s="2593"/>
      <c r="G214" s="2592"/>
      <c r="H214" s="2175"/>
      <c r="I214" s="66"/>
      <c r="J214" s="2452"/>
      <c r="K214" s="66"/>
      <c r="L214" s="66"/>
      <c r="M214" s="90"/>
    </row>
    <row r="215" spans="1:18" s="139" customFormat="1" ht="12" thickBot="1" x14ac:dyDescent="0.25">
      <c r="A215" s="2453" t="s">
        <v>539</v>
      </c>
      <c r="B215" s="2454"/>
      <c r="C215" s="2454"/>
      <c r="D215" s="2411">
        <f>SUM(D216:D217)</f>
        <v>3500</v>
      </c>
      <c r="E215" s="2442">
        <f t="shared" ref="E215:L215" si="23">SUM(E216,E217)</f>
        <v>502</v>
      </c>
      <c r="F215" s="2442">
        <f t="shared" si="23"/>
        <v>0</v>
      </c>
      <c r="G215" s="2442">
        <f t="shared" si="23"/>
        <v>0</v>
      </c>
      <c r="H215" s="2414">
        <f t="shared" si="23"/>
        <v>0</v>
      </c>
      <c r="I215" s="2412">
        <f>SUM(I216,I217)</f>
        <v>497</v>
      </c>
      <c r="J215" s="2530">
        <f>SUM(J216,J217)</f>
        <v>1000</v>
      </c>
      <c r="K215" s="2418">
        <f t="shared" si="23"/>
        <v>1000</v>
      </c>
      <c r="L215" s="2444">
        <f t="shared" si="23"/>
        <v>1000</v>
      </c>
      <c r="M215" s="602"/>
      <c r="N215" s="594"/>
      <c r="O215" s="584"/>
      <c r="P215" s="584"/>
      <c r="Q215" s="584"/>
    </row>
    <row r="216" spans="1:18" x14ac:dyDescent="0.2">
      <c r="A216" s="2518">
        <v>637</v>
      </c>
      <c r="B216" s="2518"/>
      <c r="C216" s="2519" t="s">
        <v>208</v>
      </c>
      <c r="D216" s="2515">
        <v>0</v>
      </c>
      <c r="E216" s="2515">
        <v>0</v>
      </c>
      <c r="F216" s="2516">
        <v>0</v>
      </c>
      <c r="G216" s="2515">
        <v>0</v>
      </c>
      <c r="H216" s="2978">
        <v>0</v>
      </c>
      <c r="I216" s="2358">
        <v>0</v>
      </c>
      <c r="J216" s="2358">
        <v>0</v>
      </c>
      <c r="K216" s="2298">
        <v>0</v>
      </c>
      <c r="L216" s="1376">
        <v>0</v>
      </c>
      <c r="M216" s="73"/>
      <c r="O216" s="65"/>
      <c r="P216" s="65"/>
      <c r="Q216" s="65"/>
    </row>
    <row r="217" spans="1:18" ht="13.5" thickBot="1" x14ac:dyDescent="0.25">
      <c r="A217" s="1453">
        <v>637</v>
      </c>
      <c r="B217" s="1453" t="s">
        <v>120</v>
      </c>
      <c r="C217" s="1126" t="s">
        <v>321</v>
      </c>
      <c r="D217" s="1418">
        <v>3500</v>
      </c>
      <c r="E217" s="1418">
        <v>502</v>
      </c>
      <c r="F217" s="2165">
        <v>0</v>
      </c>
      <c r="G217" s="1418">
        <v>0</v>
      </c>
      <c r="H217" s="2979">
        <v>0</v>
      </c>
      <c r="I217" s="2322">
        <v>497</v>
      </c>
      <c r="J217" s="2322">
        <v>1000</v>
      </c>
      <c r="K217" s="2301">
        <v>1000</v>
      </c>
      <c r="L217" s="1412">
        <v>1000</v>
      </c>
      <c r="M217" s="581"/>
      <c r="O217" s="603"/>
      <c r="P217" s="65"/>
      <c r="Q217" s="65"/>
    </row>
    <row r="218" spans="1:18" ht="13.5" hidden="1" thickBot="1" x14ac:dyDescent="0.25">
      <c r="A218" s="2532"/>
      <c r="B218" s="2532"/>
      <c r="C218" s="2533"/>
      <c r="D218" s="2450"/>
      <c r="E218" s="2534"/>
      <c r="F218" s="2507"/>
      <c r="G218" s="2534"/>
      <c r="H218" s="2176"/>
      <c r="I218" s="58"/>
      <c r="J218" s="2452"/>
      <c r="K218" s="58"/>
      <c r="L218" s="58"/>
    </row>
    <row r="219" spans="1:18" s="139" customFormat="1" ht="12" thickBot="1" x14ac:dyDescent="0.25">
      <c r="A219" s="2453" t="s">
        <v>540</v>
      </c>
      <c r="B219" s="2454"/>
      <c r="C219" s="2454"/>
      <c r="D219" s="2411">
        <f>SUM(D220:D222)-D221</f>
        <v>2500</v>
      </c>
      <c r="E219" s="2442">
        <f>SUM(E220,E222)</f>
        <v>0</v>
      </c>
      <c r="F219" s="2442">
        <f>SUM(F220:F222)</f>
        <v>1324</v>
      </c>
      <c r="G219" s="2442">
        <f>SUM(G220,G222)+G221</f>
        <v>3000</v>
      </c>
      <c r="H219" s="2414">
        <f>SUM(H220:H222)</f>
        <v>3000</v>
      </c>
      <c r="I219" s="2412">
        <f>SUM(I220:I222)</f>
        <v>3000</v>
      </c>
      <c r="J219" s="2530">
        <f>SUM(J220:J222)</f>
        <v>3000</v>
      </c>
      <c r="K219" s="2418">
        <f>SUM(K220,K222)+K221</f>
        <v>3000</v>
      </c>
      <c r="L219" s="2444">
        <f>SUM(L220,L222)+L221</f>
        <v>3000</v>
      </c>
      <c r="M219" s="602"/>
      <c r="N219" s="594"/>
      <c r="O219" s="530"/>
      <c r="P219" s="530"/>
      <c r="Q219" s="530"/>
    </row>
    <row r="220" spans="1:18" x14ac:dyDescent="0.2">
      <c r="A220" s="2518">
        <v>633</v>
      </c>
      <c r="B220" s="2518"/>
      <c r="C220" s="2519" t="s">
        <v>200</v>
      </c>
      <c r="D220" s="2515">
        <v>0</v>
      </c>
      <c r="E220" s="2515">
        <v>0</v>
      </c>
      <c r="F220" s="2516">
        <v>0</v>
      </c>
      <c r="G220" s="2515">
        <v>0</v>
      </c>
      <c r="H220" s="2978"/>
      <c r="I220" s="2358"/>
      <c r="J220" s="2358"/>
      <c r="K220" s="2082"/>
      <c r="L220" s="1376"/>
      <c r="M220" s="73"/>
      <c r="N220" s="60"/>
      <c r="O220" s="65"/>
      <c r="P220" s="65"/>
      <c r="Q220" s="65"/>
    </row>
    <row r="221" spans="1:18" s="34" customFormat="1" x14ac:dyDescent="0.2">
      <c r="A221" s="1453">
        <v>633</v>
      </c>
      <c r="B221" s="1453" t="s">
        <v>125</v>
      </c>
      <c r="C221" s="1126" t="s">
        <v>357</v>
      </c>
      <c r="D221" s="1475">
        <v>0</v>
      </c>
      <c r="E221" s="1475">
        <v>0</v>
      </c>
      <c r="F221" s="2165">
        <v>1324</v>
      </c>
      <c r="G221" s="1475">
        <v>3000</v>
      </c>
      <c r="H221" s="2980">
        <v>3000</v>
      </c>
      <c r="I221" s="2322">
        <v>3000</v>
      </c>
      <c r="J221" s="2322">
        <v>3000</v>
      </c>
      <c r="K221" s="2062">
        <v>3000</v>
      </c>
      <c r="L221" s="1374">
        <v>3000</v>
      </c>
      <c r="M221" s="581"/>
      <c r="N221" s="60"/>
      <c r="O221" s="581"/>
      <c r="P221" s="65"/>
      <c r="Q221" s="65"/>
      <c r="R221" s="16"/>
    </row>
    <row r="222" spans="1:18" s="34" customFormat="1" ht="13.5" thickBot="1" x14ac:dyDescent="0.25">
      <c r="A222" s="1126">
        <v>635</v>
      </c>
      <c r="B222" s="1453"/>
      <c r="C222" s="1126" t="s">
        <v>294</v>
      </c>
      <c r="D222" s="1418">
        <v>2500</v>
      </c>
      <c r="E222" s="1418">
        <v>0</v>
      </c>
      <c r="F222" s="2165">
        <v>0</v>
      </c>
      <c r="G222" s="1418">
        <v>0</v>
      </c>
      <c r="H222" s="2979">
        <v>0</v>
      </c>
      <c r="I222" s="2322">
        <v>0</v>
      </c>
      <c r="J222" s="2322">
        <v>0</v>
      </c>
      <c r="K222" s="2070"/>
      <c r="L222" s="1412"/>
      <c r="M222" s="73"/>
      <c r="N222" s="20"/>
      <c r="O222" s="73"/>
      <c r="P222" s="65"/>
      <c r="Q222" s="65"/>
      <c r="R222" s="16"/>
    </row>
    <row r="223" spans="1:18" s="34" customFormat="1" ht="13.5" hidden="1" thickBot="1" x14ac:dyDescent="0.25">
      <c r="A223" s="2533"/>
      <c r="B223" s="2532"/>
      <c r="C223" s="2533"/>
      <c r="D223" s="2450"/>
      <c r="E223" s="2534"/>
      <c r="F223" s="2592"/>
      <c r="G223" s="2534"/>
      <c r="H223" s="2175"/>
      <c r="I223" s="66"/>
      <c r="J223" s="2452"/>
      <c r="K223" s="66"/>
      <c r="L223" s="66"/>
      <c r="M223" s="74"/>
      <c r="N223" s="20"/>
      <c r="O223" s="20"/>
      <c r="P223" s="20"/>
      <c r="Q223" s="20"/>
      <c r="R223" s="16"/>
    </row>
    <row r="224" spans="1:18" s="139" customFormat="1" ht="12" thickBot="1" x14ac:dyDescent="0.25">
      <c r="A224" s="2453" t="s">
        <v>541</v>
      </c>
      <c r="B224" s="2454"/>
      <c r="C224" s="2454"/>
      <c r="D224" s="2411">
        <v>0</v>
      </c>
      <c r="E224" s="2442">
        <f t="shared" ref="E224:L224" si="24">SUM(E225)</f>
        <v>0</v>
      </c>
      <c r="F224" s="2442">
        <f t="shared" si="24"/>
        <v>0</v>
      </c>
      <c r="G224" s="2442">
        <f t="shared" si="24"/>
        <v>0</v>
      </c>
      <c r="H224" s="2414">
        <f t="shared" si="24"/>
        <v>0</v>
      </c>
      <c r="I224" s="2412">
        <f t="shared" si="24"/>
        <v>0</v>
      </c>
      <c r="J224" s="2517">
        <v>0</v>
      </c>
      <c r="K224" s="2418">
        <f t="shared" si="24"/>
        <v>0</v>
      </c>
      <c r="L224" s="2444">
        <f t="shared" si="24"/>
        <v>0</v>
      </c>
      <c r="M224" s="602"/>
      <c r="N224" s="594"/>
      <c r="O224" s="584"/>
      <c r="P224" s="584"/>
      <c r="Q224" s="584"/>
    </row>
    <row r="225" spans="1:18" x14ac:dyDescent="0.2">
      <c r="A225" s="565">
        <v>637</v>
      </c>
      <c r="B225" s="566"/>
      <c r="C225" s="2179" t="s">
        <v>208</v>
      </c>
      <c r="D225" s="1375">
        <v>0</v>
      </c>
      <c r="E225" s="1439">
        <v>0</v>
      </c>
      <c r="F225" s="2180">
        <v>0</v>
      </c>
      <c r="G225" s="1439">
        <v>0</v>
      </c>
      <c r="H225" s="2898">
        <v>0</v>
      </c>
      <c r="I225" s="3072">
        <v>0</v>
      </c>
      <c r="J225" s="2358">
        <v>0</v>
      </c>
      <c r="K225" s="2584">
        <v>0</v>
      </c>
      <c r="L225" s="1376">
        <v>0</v>
      </c>
      <c r="M225" s="73"/>
      <c r="O225" s="65"/>
      <c r="P225" s="65"/>
      <c r="Q225" s="65"/>
    </row>
    <row r="226" spans="1:18" ht="13.5" thickBot="1" x14ac:dyDescent="0.25">
      <c r="A226" s="63">
        <v>637</v>
      </c>
      <c r="B226" s="85" t="s">
        <v>120</v>
      </c>
      <c r="C226" s="1125" t="s">
        <v>321</v>
      </c>
      <c r="D226" s="1364">
        <v>0</v>
      </c>
      <c r="E226" s="1371">
        <v>0</v>
      </c>
      <c r="F226" s="2579">
        <v>0</v>
      </c>
      <c r="G226" s="1371">
        <v>0</v>
      </c>
      <c r="H226" s="2904">
        <v>0</v>
      </c>
      <c r="I226" s="3073">
        <v>0</v>
      </c>
      <c r="J226" s="2357">
        <v>0</v>
      </c>
      <c r="K226" s="1369">
        <v>0</v>
      </c>
      <c r="L226" s="1370">
        <v>0</v>
      </c>
      <c r="M226" s="581"/>
      <c r="O226" s="603"/>
      <c r="P226" s="65"/>
      <c r="Q226" s="65"/>
    </row>
    <row r="227" spans="1:18" ht="13.5" thickBot="1" x14ac:dyDescent="0.25">
      <c r="A227" s="2396" t="s">
        <v>542</v>
      </c>
      <c r="B227" s="2583"/>
      <c r="C227" s="2590" t="s">
        <v>543</v>
      </c>
      <c r="D227" s="2591">
        <f>D184+D204+D215+D219+D224</f>
        <v>129925</v>
      </c>
      <c r="E227" s="2421">
        <f>SUM(E184,E204,E215,E219,E224)</f>
        <v>131614</v>
      </c>
      <c r="F227" s="2559">
        <f t="shared" ref="F227:L227" si="25">F184+F204+F215+F219+F224</f>
        <v>134851</v>
      </c>
      <c r="G227" s="2420">
        <f t="shared" si="25"/>
        <v>134660</v>
      </c>
      <c r="H227" s="2581">
        <f t="shared" si="25"/>
        <v>148610</v>
      </c>
      <c r="I227" s="2582">
        <f t="shared" si="25"/>
        <v>166467</v>
      </c>
      <c r="J227" s="2510">
        <f>J184+J204+J215+J219+J224</f>
        <v>154410</v>
      </c>
      <c r="K227" s="2567">
        <f t="shared" si="25"/>
        <v>147740</v>
      </c>
      <c r="L227" s="2564">
        <f t="shared" si="25"/>
        <v>147740</v>
      </c>
      <c r="M227" s="90"/>
      <c r="N227" s="595"/>
      <c r="O227" s="530"/>
      <c r="P227" s="530"/>
      <c r="Q227" s="530"/>
      <c r="R227" s="604"/>
    </row>
    <row r="228" spans="1:18" x14ac:dyDescent="0.2">
      <c r="A228" s="598"/>
      <c r="B228" s="65"/>
      <c r="C228" s="134"/>
      <c r="D228" s="134"/>
      <c r="E228" s="134"/>
      <c r="F228" s="134"/>
      <c r="G228" s="599"/>
      <c r="H228" s="599"/>
      <c r="I228" s="599"/>
      <c r="J228" s="2071"/>
      <c r="K228" s="599"/>
      <c r="L228" s="600"/>
      <c r="M228" s="137"/>
    </row>
    <row r="229" spans="1:18" hidden="1" x14ac:dyDescent="0.2">
      <c r="A229" s="598"/>
      <c r="B229" s="65"/>
      <c r="C229" s="134"/>
      <c r="D229" s="134"/>
      <c r="E229" s="134"/>
      <c r="F229" s="134"/>
      <c r="G229" s="599"/>
      <c r="H229" s="599"/>
      <c r="I229" s="599"/>
      <c r="J229" s="2071"/>
      <c r="K229" s="599"/>
      <c r="L229" s="600"/>
      <c r="M229" s="137"/>
    </row>
    <row r="230" spans="1:18" x14ac:dyDescent="0.2">
      <c r="A230" s="598"/>
      <c r="B230" s="65"/>
      <c r="C230" s="134"/>
      <c r="D230" s="134"/>
      <c r="E230" s="134"/>
      <c r="F230" s="134"/>
      <c r="G230" s="599"/>
      <c r="H230" s="599"/>
      <c r="I230" s="599"/>
      <c r="J230" s="2071"/>
      <c r="K230" s="599"/>
      <c r="L230" s="600"/>
      <c r="M230" s="137"/>
    </row>
    <row r="231" spans="1:18" ht="13.5" thickBot="1" x14ac:dyDescent="0.25">
      <c r="A231" s="598"/>
      <c r="B231" s="65"/>
      <c r="C231" s="134"/>
      <c r="D231" s="134"/>
      <c r="E231" s="134"/>
      <c r="F231" s="134"/>
      <c r="G231" s="599"/>
      <c r="H231" s="3795" t="s">
        <v>544</v>
      </c>
      <c r="I231" s="3795"/>
      <c r="J231" s="3795"/>
      <c r="K231" s="3795"/>
      <c r="L231" s="3795"/>
      <c r="M231" s="129"/>
      <c r="N231" s="129"/>
      <c r="O231" s="129"/>
      <c r="P231" s="129"/>
      <c r="Q231" s="129"/>
    </row>
    <row r="232" spans="1:18" ht="13.5" hidden="1" thickBot="1" x14ac:dyDescent="0.25">
      <c r="A232" s="598"/>
      <c r="B232" s="65"/>
      <c r="C232" s="134"/>
      <c r="D232" s="134"/>
      <c r="E232" s="134"/>
      <c r="F232" s="134"/>
      <c r="G232" s="599"/>
      <c r="H232" s="599"/>
      <c r="I232" s="599"/>
      <c r="J232" s="2312"/>
      <c r="K232" s="599"/>
      <c r="L232" s="600"/>
      <c r="M232" s="137"/>
    </row>
    <row r="233" spans="1:18" s="592" customFormat="1" ht="23.25" thickBot="1" x14ac:dyDescent="0.25">
      <c r="A233" s="2568" t="s">
        <v>433</v>
      </c>
      <c r="B233" s="2569"/>
      <c r="C233" s="2585"/>
      <c r="D233" s="2050">
        <v>2018</v>
      </c>
      <c r="E233" s="3174" t="s">
        <v>825</v>
      </c>
      <c r="F233" s="3175" t="s">
        <v>958</v>
      </c>
      <c r="G233" s="1408">
        <v>2021</v>
      </c>
      <c r="H233" s="2343" t="s">
        <v>873</v>
      </c>
      <c r="I233" s="2343" t="s">
        <v>929</v>
      </c>
      <c r="J233" s="3113">
        <v>2022</v>
      </c>
      <c r="K233" s="2344">
        <v>2023</v>
      </c>
      <c r="L233" s="2345">
        <v>2024</v>
      </c>
      <c r="M233" s="589"/>
      <c r="N233" s="590"/>
      <c r="O233" s="591"/>
      <c r="P233" s="526"/>
      <c r="Q233" s="527"/>
    </row>
    <row r="234" spans="1:18" s="139" customFormat="1" ht="12" thickBot="1" x14ac:dyDescent="0.25">
      <c r="A234" s="2409" t="s">
        <v>545</v>
      </c>
      <c r="B234" s="2410"/>
      <c r="C234" s="2410"/>
      <c r="D234" s="2545">
        <f>SUM(D235:D250)-D236-D238-D242-D243</f>
        <v>118520</v>
      </c>
      <c r="E234" s="2589">
        <f>SUM(E240,E241,E245,E246,E247,E248)+E235+E237+E239+E250</f>
        <v>144453</v>
      </c>
      <c r="F234" s="2589">
        <f>SUM(F235:F250)-F236-F238-F242-F243</f>
        <v>112853</v>
      </c>
      <c r="G234" s="2589">
        <f>SUM(G240,G241,G245,G246,G247,G248)+G235+G237+G239+G250+G244</f>
        <v>118750</v>
      </c>
      <c r="H234" s="2415">
        <f>SUM(H240,H241,H245,H246,H247,H248)+H235+H237+H239+H250+H244</f>
        <v>118750</v>
      </c>
      <c r="I234" s="2416">
        <f>SUM(I240,I241,I245,I246,I247,I248)+I235+I237+I239+I250+I244</f>
        <v>124950</v>
      </c>
      <c r="J234" s="2530">
        <f>SUM(J240,J241,J245,J246,J247,J248)+J235+J237+J239+J250+J244</f>
        <v>129950</v>
      </c>
      <c r="K234" s="2418">
        <f>K235+K237+K239+K240+K241+K245+K247+K244+K248</f>
        <v>121485</v>
      </c>
      <c r="L234" s="2444">
        <f>SUM(L235:L250)-L242-L243</f>
        <v>121485</v>
      </c>
      <c r="M234" s="602"/>
      <c r="N234" s="584"/>
      <c r="O234" s="530"/>
      <c r="P234" s="530"/>
      <c r="Q234" s="530"/>
    </row>
    <row r="235" spans="1:18" s="139" customFormat="1" ht="11.25" x14ac:dyDescent="0.2">
      <c r="A235" s="2586">
        <v>610</v>
      </c>
      <c r="B235" s="1842"/>
      <c r="C235" s="2544" t="s">
        <v>658</v>
      </c>
      <c r="D235" s="1849">
        <v>23800</v>
      </c>
      <c r="E235" s="2254">
        <v>26591</v>
      </c>
      <c r="F235" s="1849">
        <v>29040</v>
      </c>
      <c r="G235" s="2856">
        <v>35000</v>
      </c>
      <c r="H235" s="2856">
        <v>35000</v>
      </c>
      <c r="I235" s="2358">
        <v>35000</v>
      </c>
      <c r="J235" s="2358">
        <v>35000</v>
      </c>
      <c r="K235" s="2587">
        <v>31500</v>
      </c>
      <c r="L235" s="2588">
        <v>31500</v>
      </c>
      <c r="M235" s="602"/>
      <c r="N235" s="584"/>
      <c r="O235" s="530"/>
      <c r="P235" s="530"/>
      <c r="Q235" s="530"/>
    </row>
    <row r="236" spans="1:18" s="139" customFormat="1" ht="11.25" x14ac:dyDescent="0.2">
      <c r="A236" s="717">
        <v>610</v>
      </c>
      <c r="B236" s="710"/>
      <c r="C236" s="1130" t="s">
        <v>659</v>
      </c>
      <c r="D236" s="1850">
        <v>0</v>
      </c>
      <c r="E236" s="2255">
        <v>0</v>
      </c>
      <c r="F236" s="1850">
        <v>0</v>
      </c>
      <c r="G236" s="2902">
        <v>0</v>
      </c>
      <c r="H236" s="2902">
        <v>0</v>
      </c>
      <c r="I236" s="2322">
        <v>0</v>
      </c>
      <c r="J236" s="2322">
        <v>0</v>
      </c>
      <c r="K236" s="2094">
        <v>0</v>
      </c>
      <c r="L236" s="1423">
        <v>0</v>
      </c>
      <c r="M236" s="602"/>
      <c r="N236" s="584"/>
      <c r="O236" s="530"/>
      <c r="P236" s="530"/>
      <c r="Q236" s="530"/>
    </row>
    <row r="237" spans="1:18" s="139" customFormat="1" ht="11.25" x14ac:dyDescent="0.2">
      <c r="A237" s="716">
        <v>620</v>
      </c>
      <c r="B237" s="709"/>
      <c r="C237" s="1114" t="s">
        <v>660</v>
      </c>
      <c r="D237" s="1528">
        <v>8250</v>
      </c>
      <c r="E237" s="2243">
        <v>9368</v>
      </c>
      <c r="F237" s="1528">
        <v>10469</v>
      </c>
      <c r="G237" s="2857">
        <v>12200</v>
      </c>
      <c r="H237" s="2857">
        <v>12200</v>
      </c>
      <c r="I237" s="2322">
        <v>12300</v>
      </c>
      <c r="J237" s="2322">
        <v>12300</v>
      </c>
      <c r="K237" s="2094">
        <v>11435</v>
      </c>
      <c r="L237" s="1422">
        <v>11435</v>
      </c>
      <c r="M237" s="602"/>
      <c r="N237" s="584"/>
      <c r="O237" s="530"/>
      <c r="P237" s="530"/>
      <c r="Q237" s="530"/>
    </row>
    <row r="238" spans="1:18" s="139" customFormat="1" ht="11.25" x14ac:dyDescent="0.2">
      <c r="A238" s="717">
        <v>620</v>
      </c>
      <c r="B238" s="710"/>
      <c r="C238" s="1130" t="s">
        <v>659</v>
      </c>
      <c r="D238" s="1850">
        <v>0</v>
      </c>
      <c r="E238" s="2255">
        <v>0</v>
      </c>
      <c r="F238" s="1850">
        <v>0</v>
      </c>
      <c r="G238" s="2902">
        <v>0</v>
      </c>
      <c r="H238" s="2902">
        <v>0</v>
      </c>
      <c r="I238" s="2322">
        <v>0</v>
      </c>
      <c r="J238" s="2322">
        <v>0</v>
      </c>
      <c r="K238" s="2094">
        <v>0</v>
      </c>
      <c r="L238" s="1423">
        <v>0</v>
      </c>
      <c r="M238" s="602"/>
      <c r="N238" s="584"/>
      <c r="O238" s="530"/>
      <c r="P238" s="530"/>
      <c r="Q238" s="530"/>
    </row>
    <row r="239" spans="1:18" s="139" customFormat="1" ht="11.25" x14ac:dyDescent="0.2">
      <c r="A239" s="716">
        <v>632</v>
      </c>
      <c r="B239" s="709"/>
      <c r="C239" s="1114" t="s">
        <v>657</v>
      </c>
      <c r="D239" s="1528">
        <v>450</v>
      </c>
      <c r="E239" s="2243">
        <v>507</v>
      </c>
      <c r="F239" s="1528">
        <v>640</v>
      </c>
      <c r="G239" s="2857">
        <v>550</v>
      </c>
      <c r="H239" s="2857">
        <v>550</v>
      </c>
      <c r="I239" s="2322">
        <v>550</v>
      </c>
      <c r="J239" s="2322">
        <v>550</v>
      </c>
      <c r="K239" s="2094">
        <v>550</v>
      </c>
      <c r="L239" s="1422">
        <v>550</v>
      </c>
      <c r="M239" s="602"/>
      <c r="N239" s="584"/>
      <c r="O239" s="530"/>
      <c r="P239" s="530"/>
      <c r="Q239" s="530"/>
    </row>
    <row r="240" spans="1:18" s="20" customFormat="1" x14ac:dyDescent="0.2">
      <c r="A240" s="718">
        <v>633</v>
      </c>
      <c r="B240" s="43"/>
      <c r="C240" s="1105" t="s">
        <v>200</v>
      </c>
      <c r="D240" s="1433">
        <v>2000</v>
      </c>
      <c r="E240" s="2169">
        <v>5814</v>
      </c>
      <c r="F240" s="1433">
        <v>5346</v>
      </c>
      <c r="G240" s="2899">
        <v>5500</v>
      </c>
      <c r="H240" s="2899">
        <v>5500</v>
      </c>
      <c r="I240" s="2322">
        <v>5500</v>
      </c>
      <c r="J240" s="2322">
        <v>5500</v>
      </c>
      <c r="K240" s="2575">
        <v>2500</v>
      </c>
      <c r="L240" s="1424">
        <v>2500</v>
      </c>
      <c r="M240" s="73"/>
      <c r="O240" s="65"/>
      <c r="P240" s="65"/>
      <c r="Q240" s="65"/>
      <c r="R240" s="16"/>
    </row>
    <row r="241" spans="1:18" s="34" customFormat="1" x14ac:dyDescent="0.2">
      <c r="A241" s="718">
        <v>634</v>
      </c>
      <c r="B241" s="43"/>
      <c r="C241" s="1105" t="s">
        <v>202</v>
      </c>
      <c r="D241" s="1433">
        <f t="shared" ref="D241:L241" si="26">D242+D243</f>
        <v>8000</v>
      </c>
      <c r="E241" s="2169">
        <f>E242+E243</f>
        <v>12934</v>
      </c>
      <c r="F241" s="1433">
        <f t="shared" si="26"/>
        <v>8852</v>
      </c>
      <c r="G241" s="2899">
        <f t="shared" ref="G241" si="27">G242+G243</f>
        <v>8000</v>
      </c>
      <c r="H241" s="2899">
        <f t="shared" si="26"/>
        <v>8000</v>
      </c>
      <c r="I241" s="2322">
        <f>I242+I243</f>
        <v>10000</v>
      </c>
      <c r="J241" s="2322">
        <f>J242+J243</f>
        <v>10000</v>
      </c>
      <c r="K241" s="2575">
        <f t="shared" si="26"/>
        <v>8000</v>
      </c>
      <c r="L241" s="1424">
        <f t="shared" si="26"/>
        <v>8000</v>
      </c>
      <c r="M241" s="73"/>
      <c r="N241" s="20"/>
      <c r="O241" s="65"/>
      <c r="P241" s="65"/>
      <c r="Q241" s="65"/>
      <c r="R241" s="16"/>
    </row>
    <row r="242" spans="1:18" x14ac:dyDescent="0.2">
      <c r="A242" s="718">
        <v>634</v>
      </c>
      <c r="B242" s="43" t="s">
        <v>94</v>
      </c>
      <c r="C242" s="1105" t="s">
        <v>945</v>
      </c>
      <c r="D242" s="1641">
        <v>6000</v>
      </c>
      <c r="E242" s="2171">
        <v>4328</v>
      </c>
      <c r="F242" s="1641">
        <v>5256</v>
      </c>
      <c r="G242" s="2864">
        <v>6000</v>
      </c>
      <c r="H242" s="2864">
        <v>6000</v>
      </c>
      <c r="I242" s="2322">
        <v>6000</v>
      </c>
      <c r="J242" s="3042">
        <v>6000</v>
      </c>
      <c r="K242" s="3415">
        <v>6000</v>
      </c>
      <c r="L242" s="1436">
        <v>6000</v>
      </c>
      <c r="M242" s="581"/>
      <c r="O242" s="603"/>
      <c r="P242" s="65"/>
      <c r="Q242" s="65"/>
    </row>
    <row r="243" spans="1:18" x14ac:dyDescent="0.2">
      <c r="A243" s="718">
        <v>634</v>
      </c>
      <c r="B243" s="43" t="s">
        <v>97</v>
      </c>
      <c r="C243" s="1105" t="s">
        <v>519</v>
      </c>
      <c r="D243" s="1641">
        <v>2000</v>
      </c>
      <c r="E243" s="2171">
        <v>8606</v>
      </c>
      <c r="F243" s="1641">
        <v>3596</v>
      </c>
      <c r="G243" s="2864">
        <v>2000</v>
      </c>
      <c r="H243" s="2864">
        <v>2000</v>
      </c>
      <c r="I243" s="2322">
        <v>4000</v>
      </c>
      <c r="J243" s="3042">
        <v>4000</v>
      </c>
      <c r="K243" s="3415">
        <v>2000</v>
      </c>
      <c r="L243" s="1436">
        <v>2000</v>
      </c>
      <c r="M243" s="581"/>
      <c r="O243" s="603"/>
      <c r="P243" s="65"/>
      <c r="Q243" s="65"/>
    </row>
    <row r="244" spans="1:18" x14ac:dyDescent="0.2">
      <c r="A244" s="718">
        <v>634</v>
      </c>
      <c r="B244" s="43" t="s">
        <v>111</v>
      </c>
      <c r="C244" s="1105" t="s">
        <v>474</v>
      </c>
      <c r="D244" s="1638">
        <v>1200</v>
      </c>
      <c r="E244" s="2170">
        <v>1360</v>
      </c>
      <c r="F244" s="1638">
        <v>1168</v>
      </c>
      <c r="G244" s="2903">
        <v>1500</v>
      </c>
      <c r="H244" s="2903">
        <v>1500</v>
      </c>
      <c r="I244" s="2322">
        <v>1500</v>
      </c>
      <c r="J244" s="2322">
        <v>1500</v>
      </c>
      <c r="K244" s="2575">
        <v>1500</v>
      </c>
      <c r="L244" s="1494">
        <v>1500</v>
      </c>
      <c r="M244" s="581"/>
      <c r="O244" s="603"/>
      <c r="P244" s="65"/>
      <c r="Q244" s="65"/>
    </row>
    <row r="245" spans="1:18" x14ac:dyDescent="0.2">
      <c r="A245" s="718">
        <v>635</v>
      </c>
      <c r="B245" s="43"/>
      <c r="C245" s="1105" t="s">
        <v>294</v>
      </c>
      <c r="D245" s="1433">
        <v>1800</v>
      </c>
      <c r="E245" s="2169">
        <v>0</v>
      </c>
      <c r="F245" s="1433">
        <v>0</v>
      </c>
      <c r="G245" s="2899">
        <v>1000</v>
      </c>
      <c r="H245" s="2899">
        <v>1000</v>
      </c>
      <c r="I245" s="2322">
        <v>100</v>
      </c>
      <c r="J245" s="2322">
        <v>100</v>
      </c>
      <c r="K245" s="2575">
        <v>1000</v>
      </c>
      <c r="L245" s="1424">
        <v>1000</v>
      </c>
      <c r="M245" s="73"/>
      <c r="O245" s="597"/>
      <c r="P245" s="65"/>
      <c r="Q245" s="65"/>
    </row>
    <row r="246" spans="1:18" x14ac:dyDescent="0.2">
      <c r="A246" s="718">
        <v>636</v>
      </c>
      <c r="B246" s="43"/>
      <c r="C246" s="1105" t="s">
        <v>546</v>
      </c>
      <c r="D246" s="1433">
        <v>0</v>
      </c>
      <c r="E246" s="2169">
        <v>0</v>
      </c>
      <c r="F246" s="1433">
        <v>0</v>
      </c>
      <c r="G246" s="2899">
        <v>0</v>
      </c>
      <c r="H246" s="2899">
        <v>0</v>
      </c>
      <c r="I246" s="2322">
        <v>0</v>
      </c>
      <c r="J246" s="2322">
        <v>0</v>
      </c>
      <c r="K246" s="2575">
        <v>0</v>
      </c>
      <c r="L246" s="1424">
        <v>0</v>
      </c>
      <c r="M246" s="73"/>
      <c r="O246" s="65"/>
      <c r="P246" s="65"/>
      <c r="Q246" s="65"/>
    </row>
    <row r="247" spans="1:18" x14ac:dyDescent="0.2">
      <c r="A247" s="719">
        <v>637</v>
      </c>
      <c r="B247" s="85"/>
      <c r="C247" s="1131" t="s">
        <v>857</v>
      </c>
      <c r="D247" s="1433">
        <v>70800</v>
      </c>
      <c r="E247" s="2169">
        <v>73437</v>
      </c>
      <c r="F247" s="1433">
        <v>43191</v>
      </c>
      <c r="G247" s="2904">
        <v>50000</v>
      </c>
      <c r="H247" s="2904">
        <v>50000</v>
      </c>
      <c r="I247" s="2434">
        <v>50000</v>
      </c>
      <c r="J247" s="2434">
        <v>50000</v>
      </c>
      <c r="K247" s="2576">
        <v>50000</v>
      </c>
      <c r="L247" s="1425">
        <v>50000</v>
      </c>
      <c r="M247" s="89"/>
      <c r="O247" s="73"/>
      <c r="P247" s="65"/>
      <c r="Q247" s="65"/>
    </row>
    <row r="248" spans="1:18" x14ac:dyDescent="0.2">
      <c r="A248" s="720">
        <v>637</v>
      </c>
      <c r="B248" s="712"/>
      <c r="C248" s="1126" t="s">
        <v>858</v>
      </c>
      <c r="D248" s="1433">
        <v>2220</v>
      </c>
      <c r="E248" s="2169">
        <v>15802</v>
      </c>
      <c r="F248" s="1433">
        <v>13999</v>
      </c>
      <c r="G248" s="2905">
        <v>5000</v>
      </c>
      <c r="H248" s="2905">
        <v>5000</v>
      </c>
      <c r="I248" s="2322">
        <v>10000</v>
      </c>
      <c r="J248" s="2322">
        <v>15000</v>
      </c>
      <c r="K248" s="2093">
        <v>15000</v>
      </c>
      <c r="L248" s="1429">
        <v>15000</v>
      </c>
      <c r="M248" s="89"/>
      <c r="O248" s="73"/>
      <c r="P248" s="572"/>
      <c r="Q248" s="65"/>
    </row>
    <row r="249" spans="1:18" hidden="1" x14ac:dyDescent="0.2">
      <c r="A249" s="721"/>
      <c r="B249" s="20"/>
      <c r="C249" s="1132"/>
      <c r="D249" s="1851"/>
      <c r="E249" s="2256"/>
      <c r="F249" s="1851"/>
      <c r="G249" s="1430"/>
      <c r="H249" s="1430"/>
      <c r="I249" s="2435"/>
      <c r="J249" s="2435"/>
      <c r="K249" s="2071"/>
      <c r="L249" s="1431"/>
      <c r="M249" s="618"/>
    </row>
    <row r="250" spans="1:18" ht="13.5" thickBot="1" x14ac:dyDescent="0.25">
      <c r="A250" s="2183">
        <v>637</v>
      </c>
      <c r="B250" s="2183">
        <v>642</v>
      </c>
      <c r="C250" s="2183" t="s">
        <v>691</v>
      </c>
      <c r="D250" s="1853">
        <v>0</v>
      </c>
      <c r="E250" s="2181">
        <v>0</v>
      </c>
      <c r="F250" s="1853">
        <v>148</v>
      </c>
      <c r="G250" s="2906">
        <v>0</v>
      </c>
      <c r="H250" s="2906">
        <v>0</v>
      </c>
      <c r="I250" s="2322">
        <v>0</v>
      </c>
      <c r="J250" s="2322">
        <v>0</v>
      </c>
      <c r="K250" s="2577">
        <v>0</v>
      </c>
      <c r="L250" s="1432">
        <v>0</v>
      </c>
      <c r="M250" s="618"/>
    </row>
    <row r="251" spans="1:18" ht="13.5" hidden="1" thickBot="1" x14ac:dyDescent="0.25">
      <c r="A251" s="65"/>
      <c r="B251" s="65"/>
      <c r="C251" s="65"/>
      <c r="D251" s="73"/>
      <c r="E251" s="89"/>
      <c r="F251" s="1799"/>
      <c r="G251" s="89"/>
      <c r="H251" s="89"/>
      <c r="I251" s="89"/>
      <c r="J251" s="2452"/>
      <c r="K251" s="89"/>
      <c r="L251" s="89"/>
      <c r="M251" s="618"/>
    </row>
    <row r="252" spans="1:18" s="139" customFormat="1" ht="12" thickBot="1" x14ac:dyDescent="0.25">
      <c r="A252" s="2453" t="s">
        <v>548</v>
      </c>
      <c r="B252" s="2454"/>
      <c r="C252" s="2454"/>
      <c r="D252" s="2442">
        <f>D253+D254+D255+D257+D258+D263+D266+D262+D261</f>
        <v>39885</v>
      </c>
      <c r="E252" s="2442">
        <f>SUM(E253,E254,E255,E257,E258,E263,E266,E262)+E261+E265</f>
        <v>61932</v>
      </c>
      <c r="F252" s="2442">
        <f>SUM(F253,F254,F255,F257,F258,F263,F262)+F261+F266+F265</f>
        <v>87659</v>
      </c>
      <c r="G252" s="2442">
        <f>SUM(G253,G254,G255,G257,G258,G263,G266,G262)+G261+G265</f>
        <v>61005</v>
      </c>
      <c r="H252" s="2414">
        <f>SUM(H253,H254,H255,H257,H258,H263,H262)+H261+H266+H265</f>
        <v>29463</v>
      </c>
      <c r="I252" s="2412">
        <f>SUM(I253,I254,I255,I257,I258,I263,I262)+I261+I266+I265</f>
        <v>29284</v>
      </c>
      <c r="J252" s="2529">
        <f>SUM(J253,J254,J255,J257,J258,J263,J262)+J261+J266+J265</f>
        <v>4305</v>
      </c>
      <c r="K252" s="2418">
        <f>SUM(K253,K254,K255,K257,K258,K263,K262)+K265+K261+K266</f>
        <v>3305</v>
      </c>
      <c r="L252" s="2444">
        <f>SUM(L253,L254,L255,L257,L258,L263,L262)+L261+L265+L266</f>
        <v>2305</v>
      </c>
      <c r="M252" s="602"/>
      <c r="N252" s="584"/>
      <c r="O252" s="530"/>
      <c r="P252" s="530"/>
      <c r="Q252" s="530"/>
    </row>
    <row r="253" spans="1:18" s="20" customFormat="1" x14ac:dyDescent="0.2">
      <c r="A253" s="1645">
        <v>610</v>
      </c>
      <c r="B253" s="556"/>
      <c r="C253" s="2179" t="s">
        <v>449</v>
      </c>
      <c r="D253" s="1643">
        <v>9800</v>
      </c>
      <c r="E253" s="877">
        <v>10524</v>
      </c>
      <c r="F253" s="1643">
        <v>11526</v>
      </c>
      <c r="G253" s="2898">
        <v>0</v>
      </c>
      <c r="H253" s="3020">
        <v>4500</v>
      </c>
      <c r="I253" s="2358">
        <v>4755</v>
      </c>
      <c r="J253" s="2358">
        <v>0</v>
      </c>
      <c r="K253" s="2082"/>
      <c r="L253" s="2387"/>
      <c r="M253" s="89"/>
      <c r="N253" s="60"/>
      <c r="O253" s="73"/>
      <c r="P253" s="65"/>
      <c r="Q253" s="65"/>
      <c r="R253" s="16"/>
    </row>
    <row r="254" spans="1:18" s="34" customFormat="1" x14ac:dyDescent="0.2">
      <c r="A254" s="723">
        <v>620</v>
      </c>
      <c r="B254" s="64"/>
      <c r="C254" s="1125" t="s">
        <v>194</v>
      </c>
      <c r="D254" s="1433">
        <v>3255</v>
      </c>
      <c r="E254" s="2169">
        <v>3677</v>
      </c>
      <c r="F254" s="1433">
        <v>3639</v>
      </c>
      <c r="G254" s="2899">
        <v>0</v>
      </c>
      <c r="H254" s="3021">
        <v>1800</v>
      </c>
      <c r="I254" s="2322">
        <v>2666</v>
      </c>
      <c r="J254" s="2322">
        <v>0</v>
      </c>
      <c r="K254" s="2062"/>
      <c r="L254" s="1424"/>
      <c r="M254" s="89"/>
      <c r="N254" s="60"/>
      <c r="O254" s="73"/>
      <c r="P254" s="65"/>
      <c r="Q254" s="65"/>
      <c r="R254" s="16"/>
    </row>
    <row r="255" spans="1:18" s="34" customFormat="1" x14ac:dyDescent="0.2">
      <c r="A255" s="711">
        <v>632</v>
      </c>
      <c r="B255" s="727"/>
      <c r="C255" s="1126" t="s">
        <v>198</v>
      </c>
      <c r="D255" s="1433">
        <v>5800</v>
      </c>
      <c r="E255" s="2169">
        <v>10309</v>
      </c>
      <c r="F255" s="1433">
        <v>23114</v>
      </c>
      <c r="G255" s="2899">
        <v>25000</v>
      </c>
      <c r="H255" s="3021">
        <v>8530</v>
      </c>
      <c r="I255" s="2322">
        <v>8530</v>
      </c>
      <c r="J255" s="2322">
        <v>0</v>
      </c>
      <c r="K255" s="2062">
        <v>0</v>
      </c>
      <c r="L255" s="1424">
        <v>0</v>
      </c>
      <c r="M255" s="89"/>
      <c r="N255" s="60"/>
      <c r="O255" s="73"/>
      <c r="P255" s="65"/>
      <c r="Q255" s="65"/>
      <c r="R255" s="16"/>
    </row>
    <row r="256" spans="1:18" s="34" customFormat="1" hidden="1" x14ac:dyDescent="0.2">
      <c r="A256" s="887"/>
      <c r="B256" s="888"/>
      <c r="C256" s="1127"/>
      <c r="D256" s="1852"/>
      <c r="E256" s="2257"/>
      <c r="F256" s="1852"/>
      <c r="G256" s="1434"/>
      <c r="H256" s="2574"/>
      <c r="I256" s="2322"/>
      <c r="J256" s="2322"/>
      <c r="K256" s="2072"/>
      <c r="L256" s="1435"/>
      <c r="M256" s="89"/>
      <c r="N256" s="60"/>
      <c r="O256" s="73"/>
      <c r="P256" s="65"/>
      <c r="Q256" s="65"/>
      <c r="R256" s="16"/>
    </row>
    <row r="257" spans="1:18" s="34" customFormat="1" x14ac:dyDescent="0.2">
      <c r="A257" s="726">
        <v>633</v>
      </c>
      <c r="B257" s="621"/>
      <c r="C257" s="1128" t="s">
        <v>200</v>
      </c>
      <c r="D257" s="1433">
        <v>1510</v>
      </c>
      <c r="E257" s="2169">
        <v>3608</v>
      </c>
      <c r="F257" s="1433">
        <v>1247</v>
      </c>
      <c r="G257" s="2899">
        <v>1000</v>
      </c>
      <c r="H257" s="3021">
        <v>1000</v>
      </c>
      <c r="I257" s="2322">
        <v>400</v>
      </c>
      <c r="J257" s="2322">
        <v>0</v>
      </c>
      <c r="K257" s="2062">
        <v>0</v>
      </c>
      <c r="L257" s="1424">
        <v>0</v>
      </c>
      <c r="M257" s="89"/>
      <c r="N257" s="60"/>
      <c r="O257" s="65"/>
      <c r="P257" s="65"/>
      <c r="Q257" s="65"/>
      <c r="R257" s="16"/>
    </row>
    <row r="258" spans="1:18" s="34" customFormat="1" x14ac:dyDescent="0.2">
      <c r="A258" s="722">
        <v>634</v>
      </c>
      <c r="B258" s="620"/>
      <c r="C258" s="1105" t="s">
        <v>549</v>
      </c>
      <c r="D258" s="1433">
        <f t="shared" ref="D258:F258" si="28">D259+D260</f>
        <v>12700</v>
      </c>
      <c r="E258" s="2169">
        <f t="shared" si="28"/>
        <v>11434</v>
      </c>
      <c r="F258" s="1433">
        <f t="shared" si="28"/>
        <v>9900</v>
      </c>
      <c r="G258" s="2899">
        <f t="shared" ref="G258" si="29">G259+G260</f>
        <v>3000</v>
      </c>
      <c r="H258" s="3021">
        <f>H259+H260</f>
        <v>3000</v>
      </c>
      <c r="I258" s="2322">
        <f>I259+I260</f>
        <v>4500</v>
      </c>
      <c r="J258" s="2322">
        <f>J259+J260</f>
        <v>3500</v>
      </c>
      <c r="K258" s="2062">
        <f>K259+K260</f>
        <v>2500</v>
      </c>
      <c r="L258" s="3122">
        <f>L259+L260</f>
        <v>1500</v>
      </c>
      <c r="M258" s="89"/>
      <c r="N258" s="60"/>
      <c r="O258" s="73"/>
      <c r="P258" s="65"/>
      <c r="Q258" s="65"/>
      <c r="R258" s="16"/>
    </row>
    <row r="259" spans="1:18" s="34" customFormat="1" x14ac:dyDescent="0.2">
      <c r="A259" s="723">
        <v>634</v>
      </c>
      <c r="B259" s="619" t="s">
        <v>94</v>
      </c>
      <c r="C259" s="1125" t="s">
        <v>946</v>
      </c>
      <c r="D259" s="1641">
        <v>4200</v>
      </c>
      <c r="E259" s="2171">
        <v>5280</v>
      </c>
      <c r="F259" s="1641">
        <v>2475</v>
      </c>
      <c r="G259" s="2864">
        <v>2000</v>
      </c>
      <c r="H259" s="3023">
        <v>2000</v>
      </c>
      <c r="I259" s="2322">
        <v>3500</v>
      </c>
      <c r="J259" s="3117">
        <v>2500</v>
      </c>
      <c r="K259" s="3118">
        <v>1500</v>
      </c>
      <c r="L259" s="3120">
        <v>1000</v>
      </c>
      <c r="M259" s="89"/>
      <c r="N259" s="60"/>
      <c r="O259" s="73"/>
      <c r="P259" s="65"/>
      <c r="Q259" s="65"/>
      <c r="R259" s="16"/>
    </row>
    <row r="260" spans="1:18" s="34" customFormat="1" x14ac:dyDescent="0.2">
      <c r="A260" s="1126">
        <v>634</v>
      </c>
      <c r="B260" s="2184" t="s">
        <v>97</v>
      </c>
      <c r="C260" s="1126" t="s">
        <v>550</v>
      </c>
      <c r="D260" s="1641">
        <v>8500</v>
      </c>
      <c r="E260" s="2171">
        <v>6154</v>
      </c>
      <c r="F260" s="1641">
        <v>7425</v>
      </c>
      <c r="G260" s="2866">
        <v>1000</v>
      </c>
      <c r="H260" s="3024">
        <v>1000</v>
      </c>
      <c r="I260" s="2322">
        <v>1000</v>
      </c>
      <c r="J260" s="3117">
        <v>1000</v>
      </c>
      <c r="K260" s="3119">
        <v>1000</v>
      </c>
      <c r="L260" s="3121">
        <v>500</v>
      </c>
      <c r="M260" s="89"/>
      <c r="N260" s="60"/>
      <c r="O260" s="73"/>
      <c r="P260" s="65"/>
      <c r="Q260" s="65"/>
      <c r="R260" s="16"/>
    </row>
    <row r="261" spans="1:18" s="34" customFormat="1" x14ac:dyDescent="0.2">
      <c r="A261" s="726">
        <v>634</v>
      </c>
      <c r="B261" s="621" t="s">
        <v>92</v>
      </c>
      <c r="C261" s="1128" t="s">
        <v>661</v>
      </c>
      <c r="D261" s="1638">
        <v>100</v>
      </c>
      <c r="E261" s="2170">
        <v>304</v>
      </c>
      <c r="F261" s="1638">
        <v>72</v>
      </c>
      <c r="G261" s="2862">
        <v>305</v>
      </c>
      <c r="H261" s="3022">
        <v>305</v>
      </c>
      <c r="I261" s="2315">
        <v>305</v>
      </c>
      <c r="J261" s="2315">
        <v>305</v>
      </c>
      <c r="K261" s="2073">
        <v>305</v>
      </c>
      <c r="L261" s="1438">
        <v>305</v>
      </c>
      <c r="M261" s="89"/>
      <c r="N261" s="60"/>
      <c r="O261" s="73"/>
      <c r="P261" s="65"/>
      <c r="Q261" s="65"/>
      <c r="R261" s="16"/>
    </row>
    <row r="262" spans="1:18" s="34" customFormat="1" x14ac:dyDescent="0.2">
      <c r="A262" s="723">
        <v>635</v>
      </c>
      <c r="B262" s="619"/>
      <c r="C262" s="1125" t="s">
        <v>551</v>
      </c>
      <c r="D262" s="1638">
        <v>500</v>
      </c>
      <c r="E262" s="2170">
        <v>700</v>
      </c>
      <c r="F262" s="1638">
        <v>3221</v>
      </c>
      <c r="G262" s="2862">
        <v>500</v>
      </c>
      <c r="H262" s="3022">
        <v>500</v>
      </c>
      <c r="I262" s="2315">
        <v>500</v>
      </c>
      <c r="J262" s="2315">
        <v>500</v>
      </c>
      <c r="K262" s="2073">
        <v>500</v>
      </c>
      <c r="L262" s="1438">
        <v>500</v>
      </c>
      <c r="M262" s="89"/>
      <c r="N262" s="60"/>
      <c r="O262" s="73"/>
      <c r="P262" s="65"/>
      <c r="Q262" s="65"/>
      <c r="R262" s="16"/>
    </row>
    <row r="263" spans="1:18" s="34" customFormat="1" x14ac:dyDescent="0.2">
      <c r="A263" s="722">
        <v>637</v>
      </c>
      <c r="B263" s="43"/>
      <c r="C263" s="1105" t="s">
        <v>208</v>
      </c>
      <c r="D263" s="1433">
        <v>6220</v>
      </c>
      <c r="E263" s="2169">
        <v>5676</v>
      </c>
      <c r="F263" s="1433">
        <v>9740</v>
      </c>
      <c r="G263" s="2899">
        <v>6000</v>
      </c>
      <c r="H263" s="3021">
        <v>6000</v>
      </c>
      <c r="I263" s="2322">
        <v>3800</v>
      </c>
      <c r="J263" s="2322">
        <v>0</v>
      </c>
      <c r="K263" s="2288">
        <v>0</v>
      </c>
      <c r="L263" s="1424">
        <v>0</v>
      </c>
      <c r="M263" s="73"/>
      <c r="N263" s="20"/>
      <c r="O263" s="73"/>
      <c r="P263" s="65"/>
      <c r="Q263" s="65"/>
      <c r="R263" s="16"/>
    </row>
    <row r="264" spans="1:18" s="34" customFormat="1" hidden="1" x14ac:dyDescent="0.2">
      <c r="A264" s="724"/>
      <c r="B264" s="139"/>
      <c r="C264" s="1129"/>
      <c r="D264" s="2185"/>
      <c r="E264" s="2258">
        <v>17000</v>
      </c>
      <c r="F264" s="1640">
        <v>25200</v>
      </c>
      <c r="G264" s="2900">
        <v>25200</v>
      </c>
      <c r="H264" s="3030">
        <v>25200</v>
      </c>
      <c r="I264" s="2322">
        <v>25200</v>
      </c>
      <c r="J264" s="2322">
        <v>25200</v>
      </c>
      <c r="K264" s="2074">
        <v>5000</v>
      </c>
      <c r="L264" s="2075">
        <v>5000</v>
      </c>
      <c r="M264" s="74"/>
      <c r="N264" s="20"/>
      <c r="O264" s="20"/>
      <c r="P264" s="20"/>
      <c r="Q264" s="20"/>
      <c r="R264" s="16"/>
    </row>
    <row r="265" spans="1:18" s="34" customFormat="1" x14ac:dyDescent="0.2">
      <c r="A265" s="2178"/>
      <c r="B265" s="2177"/>
      <c r="C265" s="1548" t="s">
        <v>829</v>
      </c>
      <c r="D265" s="1638">
        <v>0</v>
      </c>
      <c r="E265" s="1829">
        <v>15700</v>
      </c>
      <c r="F265" s="1638">
        <v>25200</v>
      </c>
      <c r="G265" s="2901">
        <v>25200</v>
      </c>
      <c r="H265" s="878">
        <v>0</v>
      </c>
      <c r="I265" s="2322">
        <v>0</v>
      </c>
      <c r="J265" s="2322">
        <v>0</v>
      </c>
      <c r="K265" s="2076">
        <v>0</v>
      </c>
      <c r="L265" s="1923">
        <v>0</v>
      </c>
      <c r="M265" s="74"/>
      <c r="N265" s="20"/>
      <c r="O265" s="20"/>
      <c r="P265" s="20"/>
      <c r="Q265" s="20"/>
      <c r="R265" s="16"/>
    </row>
    <row r="266" spans="1:18" s="34" customFormat="1" x14ac:dyDescent="0.2">
      <c r="A266" s="1126">
        <v>637</v>
      </c>
      <c r="B266" s="1453" t="s">
        <v>491</v>
      </c>
      <c r="C266" s="1126" t="s">
        <v>492</v>
      </c>
      <c r="D266" s="1475">
        <v>0</v>
      </c>
      <c r="E266" s="1829">
        <v>0</v>
      </c>
      <c r="F266" s="1638">
        <v>0</v>
      </c>
      <c r="G266" s="2901">
        <v>0</v>
      </c>
      <c r="H266" s="878">
        <v>3828</v>
      </c>
      <c r="I266" s="2322">
        <v>3828</v>
      </c>
      <c r="J266" s="3138"/>
      <c r="K266" s="1922"/>
      <c r="L266" s="1923"/>
      <c r="M266" s="74"/>
      <c r="N266" s="20"/>
      <c r="O266" s="20"/>
      <c r="P266" s="20"/>
      <c r="Q266" s="20"/>
      <c r="R266" s="16"/>
    </row>
    <row r="267" spans="1:18" s="34" customFormat="1" ht="13.5" thickBot="1" x14ac:dyDescent="0.25">
      <c r="A267" s="113">
        <v>642</v>
      </c>
      <c r="B267" s="53" t="s">
        <v>103</v>
      </c>
      <c r="C267" s="65" t="s">
        <v>886</v>
      </c>
      <c r="D267" s="73"/>
      <c r="E267" s="58"/>
      <c r="F267" s="1804"/>
      <c r="G267" s="58"/>
      <c r="H267" s="58"/>
      <c r="I267" s="2452"/>
      <c r="J267" s="2452"/>
      <c r="K267" s="58"/>
      <c r="L267" s="1400"/>
      <c r="M267" s="74"/>
      <c r="N267" s="20"/>
      <c r="O267" s="20"/>
      <c r="P267" s="20"/>
      <c r="Q267" s="20"/>
      <c r="R267" s="16"/>
    </row>
    <row r="268" spans="1:18" s="139" customFormat="1" ht="12" thickBot="1" x14ac:dyDescent="0.25">
      <c r="A268" s="2453" t="s">
        <v>552</v>
      </c>
      <c r="B268" s="2454"/>
      <c r="C268" s="2454"/>
      <c r="D268" s="2442">
        <f>SUM(D269:D270)</f>
        <v>0</v>
      </c>
      <c r="E268" s="2442">
        <f t="shared" ref="E268:L268" si="30">SUM(E269)</f>
        <v>0</v>
      </c>
      <c r="F268" s="2442">
        <f t="shared" si="30"/>
        <v>0</v>
      </c>
      <c r="G268" s="2442">
        <f t="shared" si="30"/>
        <v>0</v>
      </c>
      <c r="H268" s="2414">
        <f t="shared" si="30"/>
        <v>0</v>
      </c>
      <c r="I268" s="2412">
        <f t="shared" si="30"/>
        <v>0</v>
      </c>
      <c r="J268" s="2521">
        <f t="shared" si="30"/>
        <v>0</v>
      </c>
      <c r="K268" s="2418">
        <f t="shared" si="30"/>
        <v>0</v>
      </c>
      <c r="L268" s="2444">
        <f t="shared" si="30"/>
        <v>0</v>
      </c>
      <c r="M268" s="602"/>
      <c r="N268" s="584"/>
      <c r="O268" s="584"/>
      <c r="P268" s="584"/>
      <c r="Q268" s="584"/>
    </row>
    <row r="269" spans="1:18" x14ac:dyDescent="0.2">
      <c r="A269" s="1675">
        <v>633</v>
      </c>
      <c r="B269" s="566"/>
      <c r="C269" s="2179" t="s">
        <v>320</v>
      </c>
      <c r="D269" s="2186">
        <v>0</v>
      </c>
      <c r="E269" s="1439">
        <v>0</v>
      </c>
      <c r="F269" s="2180">
        <v>0</v>
      </c>
      <c r="G269" s="1439">
        <v>0</v>
      </c>
      <c r="H269" s="2898">
        <v>0</v>
      </c>
      <c r="I269" s="3072">
        <v>0</v>
      </c>
      <c r="J269" s="2358">
        <v>0</v>
      </c>
      <c r="K269" s="2584">
        <v>0</v>
      </c>
      <c r="L269" s="2387">
        <v>0</v>
      </c>
      <c r="M269" s="73"/>
      <c r="O269" s="65"/>
      <c r="P269" s="65"/>
      <c r="Q269" s="65"/>
    </row>
    <row r="270" spans="1:18" ht="13.5" thickBot="1" x14ac:dyDescent="0.25">
      <c r="A270" s="719">
        <v>637</v>
      </c>
      <c r="B270" s="85" t="s">
        <v>120</v>
      </c>
      <c r="C270" s="1125" t="s">
        <v>321</v>
      </c>
      <c r="D270" s="2578">
        <v>0</v>
      </c>
      <c r="E270" s="1371">
        <v>0</v>
      </c>
      <c r="F270" s="2579">
        <v>0</v>
      </c>
      <c r="G270" s="1371">
        <v>0</v>
      </c>
      <c r="H270" s="2904">
        <v>0</v>
      </c>
      <c r="I270" s="3073">
        <v>0</v>
      </c>
      <c r="J270" s="2357">
        <v>0</v>
      </c>
      <c r="K270" s="1369">
        <v>0</v>
      </c>
      <c r="L270" s="1425">
        <v>0</v>
      </c>
      <c r="M270" s="581"/>
      <c r="O270" s="603"/>
      <c r="P270" s="621"/>
      <c r="Q270" s="65"/>
    </row>
    <row r="271" spans="1:18" ht="13.5" thickBot="1" x14ac:dyDescent="0.25">
      <c r="A271" s="2396" t="s">
        <v>553</v>
      </c>
      <c r="B271" s="2583"/>
      <c r="C271" s="2398" t="s">
        <v>318</v>
      </c>
      <c r="D271" s="2563">
        <f>SUM(D234+D252+D268)</f>
        <v>158405</v>
      </c>
      <c r="E271" s="2421">
        <f>SUM(E234,E252,E268)</f>
        <v>206385</v>
      </c>
      <c r="F271" s="2423">
        <f>SUM(F234+F252+F268)</f>
        <v>200512</v>
      </c>
      <c r="G271" s="2580">
        <f t="shared" ref="G271:L271" si="31">G234+G252+G268</f>
        <v>179755</v>
      </c>
      <c r="H271" s="2581">
        <f t="shared" si="31"/>
        <v>148213</v>
      </c>
      <c r="I271" s="2582">
        <f t="shared" si="31"/>
        <v>154234</v>
      </c>
      <c r="J271" s="2510">
        <f t="shared" si="31"/>
        <v>134255</v>
      </c>
      <c r="K271" s="2567">
        <f t="shared" si="31"/>
        <v>124790</v>
      </c>
      <c r="L271" s="2564">
        <f t="shared" si="31"/>
        <v>123790</v>
      </c>
      <c r="M271" s="90"/>
      <c r="N271" s="622"/>
      <c r="O271" s="530"/>
      <c r="P271" s="530"/>
      <c r="Q271" s="530"/>
    </row>
    <row r="272" spans="1:18" hidden="1" x14ac:dyDescent="0.2">
      <c r="A272" s="598"/>
      <c r="B272" s="65"/>
      <c r="C272" s="134"/>
      <c r="D272" s="134"/>
      <c r="E272" s="134"/>
      <c r="F272" s="134"/>
      <c r="G272" s="599"/>
      <c r="H272" s="599"/>
      <c r="I272" s="599"/>
      <c r="J272" s="2312"/>
      <c r="K272" s="599"/>
      <c r="L272" s="600"/>
      <c r="M272" s="137"/>
    </row>
    <row r="273" spans="1:18" hidden="1" x14ac:dyDescent="0.2">
      <c r="A273" s="598"/>
      <c r="B273" s="65"/>
      <c r="C273" s="134"/>
      <c r="D273" s="134"/>
      <c r="E273" s="134"/>
      <c r="F273" s="134"/>
      <c r="G273" s="599"/>
      <c r="H273" s="599"/>
      <c r="I273" s="599"/>
      <c r="J273" s="2312"/>
      <c r="K273" s="599"/>
      <c r="L273" s="600"/>
      <c r="M273" s="137"/>
    </row>
    <row r="274" spans="1:18" x14ac:dyDescent="0.2">
      <c r="A274" s="598"/>
      <c r="B274" s="65"/>
      <c r="C274" s="134"/>
      <c r="D274" s="134"/>
      <c r="E274" s="134"/>
      <c r="F274" s="134"/>
      <c r="G274" s="599"/>
      <c r="H274" s="599"/>
      <c r="I274" s="599"/>
      <c r="J274" s="2071"/>
      <c r="K274" s="599"/>
      <c r="L274" s="600"/>
      <c r="M274" s="137"/>
    </row>
    <row r="275" spans="1:18" x14ac:dyDescent="0.2">
      <c r="A275" s="598"/>
      <c r="B275" s="65"/>
      <c r="C275" s="134"/>
      <c r="D275" s="134"/>
      <c r="E275" s="134"/>
      <c r="F275" s="134"/>
      <c r="G275" s="599"/>
      <c r="H275" s="599"/>
      <c r="I275" s="599"/>
      <c r="J275" s="2071"/>
      <c r="K275" s="599"/>
      <c r="L275" s="600"/>
      <c r="M275" s="137"/>
    </row>
    <row r="276" spans="1:18" ht="13.5" thickBot="1" x14ac:dyDescent="0.25">
      <c r="A276" s="598"/>
      <c r="B276" s="65"/>
      <c r="C276" s="134"/>
      <c r="D276" s="134"/>
      <c r="E276" s="134"/>
      <c r="F276" s="134"/>
      <c r="G276" s="599"/>
      <c r="H276" s="3795" t="s">
        <v>554</v>
      </c>
      <c r="I276" s="3795"/>
      <c r="J276" s="3795"/>
      <c r="K276" s="3795"/>
      <c r="L276" s="3795"/>
      <c r="M276" s="129"/>
      <c r="N276" s="129"/>
      <c r="O276" s="129"/>
      <c r="P276" s="129"/>
      <c r="Q276" s="129"/>
    </row>
    <row r="277" spans="1:18" ht="13.5" hidden="1" thickBot="1" x14ac:dyDescent="0.25">
      <c r="A277" s="598"/>
      <c r="B277" s="65"/>
      <c r="C277" s="134"/>
      <c r="D277" s="134"/>
      <c r="E277" s="134"/>
      <c r="F277" s="134"/>
      <c r="G277" s="599"/>
      <c r="H277" s="599"/>
      <c r="I277" s="599"/>
      <c r="J277" s="2312"/>
      <c r="K277" s="599"/>
      <c r="L277" s="600"/>
      <c r="M277" s="137"/>
    </row>
    <row r="278" spans="1:18" s="592" customFormat="1" ht="25.5" customHeight="1" thickBot="1" x14ac:dyDescent="0.25">
      <c r="A278" s="2568" t="s">
        <v>433</v>
      </c>
      <c r="B278" s="2569"/>
      <c r="C278" s="2570"/>
      <c r="D278" s="2050">
        <v>2018</v>
      </c>
      <c r="E278" s="3174" t="s">
        <v>825</v>
      </c>
      <c r="F278" s="3175" t="s">
        <v>958</v>
      </c>
      <c r="G278" s="1408">
        <v>2021</v>
      </c>
      <c r="H278" s="2343" t="s">
        <v>873</v>
      </c>
      <c r="I278" s="2343" t="s">
        <v>929</v>
      </c>
      <c r="J278" s="3113">
        <v>2022</v>
      </c>
      <c r="K278" s="2344">
        <v>2023</v>
      </c>
      <c r="L278" s="2345">
        <v>2024</v>
      </c>
      <c r="M278" s="589"/>
      <c r="N278" s="590"/>
      <c r="O278" s="591"/>
      <c r="P278" s="526"/>
      <c r="Q278" s="527"/>
    </row>
    <row r="279" spans="1:18" s="139" customFormat="1" ht="12" thickBot="1" x14ac:dyDescent="0.25">
      <c r="A279" s="2409" t="s">
        <v>555</v>
      </c>
      <c r="B279" s="2410"/>
      <c r="C279" s="2410"/>
      <c r="D279" s="2556">
        <f>SUM(D280:D283)</f>
        <v>1000</v>
      </c>
      <c r="E279" s="2442">
        <f>E280+E281+E282+E283</f>
        <v>1950</v>
      </c>
      <c r="F279" s="2547">
        <f>SUM(F280:F283)</f>
        <v>2124</v>
      </c>
      <c r="G279" s="2455">
        <f t="shared" ref="G279:L279" si="32">G280+G281+G282+G283</f>
        <v>1000</v>
      </c>
      <c r="H279" s="2524">
        <f t="shared" si="32"/>
        <v>1000</v>
      </c>
      <c r="I279" s="2412">
        <f t="shared" si="32"/>
        <v>850</v>
      </c>
      <c r="J279" s="2530">
        <f t="shared" si="32"/>
        <v>1000</v>
      </c>
      <c r="K279" s="2418">
        <f t="shared" si="32"/>
        <v>1000</v>
      </c>
      <c r="L279" s="2444">
        <f t="shared" si="32"/>
        <v>1000</v>
      </c>
      <c r="M279" s="602"/>
      <c r="N279" s="584"/>
      <c r="O279" s="530"/>
      <c r="P279" s="530"/>
      <c r="Q279" s="530"/>
      <c r="R279" s="623"/>
    </row>
    <row r="280" spans="1:18" s="20" customFormat="1" x14ac:dyDescent="0.2">
      <c r="A280" s="1675">
        <v>637</v>
      </c>
      <c r="B280" s="566" t="s">
        <v>491</v>
      </c>
      <c r="C280" s="2361" t="s">
        <v>556</v>
      </c>
      <c r="D280" s="1439">
        <v>0</v>
      </c>
      <c r="E280" s="2515">
        <v>0</v>
      </c>
      <c r="F280" s="2571">
        <v>0</v>
      </c>
      <c r="G280" s="2572">
        <v>0</v>
      </c>
      <c r="H280" s="2981">
        <v>0</v>
      </c>
      <c r="I280" s="2358">
        <v>0</v>
      </c>
      <c r="J280" s="2358">
        <v>0</v>
      </c>
      <c r="K280" s="2082">
        <v>0</v>
      </c>
      <c r="L280" s="2387">
        <v>0</v>
      </c>
      <c r="M280" s="73"/>
      <c r="O280" s="65"/>
      <c r="P280" s="65"/>
      <c r="Q280" s="65"/>
      <c r="R280" s="16"/>
    </row>
    <row r="281" spans="1:18" s="34" customFormat="1" x14ac:dyDescent="0.2">
      <c r="A281" s="718">
        <v>632</v>
      </c>
      <c r="B281" s="43"/>
      <c r="C281" s="1105" t="s">
        <v>198</v>
      </c>
      <c r="D281" s="1372">
        <v>0</v>
      </c>
      <c r="E281" s="1418">
        <v>0</v>
      </c>
      <c r="F281" s="2232">
        <v>0</v>
      </c>
      <c r="G281" s="1800">
        <v>0</v>
      </c>
      <c r="H281" s="2914">
        <v>0</v>
      </c>
      <c r="I281" s="2322">
        <v>0</v>
      </c>
      <c r="J281" s="2322">
        <v>0</v>
      </c>
      <c r="K281" s="2062">
        <v>0</v>
      </c>
      <c r="L281" s="1424">
        <v>0</v>
      </c>
      <c r="M281" s="73"/>
      <c r="N281" s="20"/>
      <c r="O281" s="65"/>
      <c r="P281" s="65"/>
      <c r="Q281" s="65"/>
      <c r="R281" s="16"/>
    </row>
    <row r="282" spans="1:18" x14ac:dyDescent="0.2">
      <c r="A282" s="718">
        <v>637</v>
      </c>
      <c r="B282" s="43"/>
      <c r="C282" s="1105" t="s">
        <v>208</v>
      </c>
      <c r="D282" s="1372">
        <v>1000</v>
      </c>
      <c r="E282" s="1418">
        <v>0</v>
      </c>
      <c r="F282" s="2232">
        <v>0</v>
      </c>
      <c r="G282" s="1800">
        <v>1000</v>
      </c>
      <c r="H282" s="2914">
        <v>1000</v>
      </c>
      <c r="I282" s="2322">
        <v>850</v>
      </c>
      <c r="J282" s="2322">
        <v>1000</v>
      </c>
      <c r="K282" s="2062">
        <v>1000</v>
      </c>
      <c r="L282" s="1424">
        <v>1000</v>
      </c>
      <c r="M282" s="73"/>
      <c r="O282" s="73"/>
      <c r="P282" s="65"/>
      <c r="Q282" s="624"/>
    </row>
    <row r="283" spans="1:18" ht="13.5" thickBot="1" x14ac:dyDescent="0.25">
      <c r="A283" s="731">
        <v>637</v>
      </c>
      <c r="B283" s="732"/>
      <c r="C283" s="1116" t="s">
        <v>327</v>
      </c>
      <c r="D283" s="2187">
        <v>0</v>
      </c>
      <c r="E283" s="1418">
        <v>1950</v>
      </c>
      <c r="F283" s="2232">
        <v>2124</v>
      </c>
      <c r="G283" s="1802">
        <v>0</v>
      </c>
      <c r="H283" s="2982">
        <v>0</v>
      </c>
      <c r="I283" s="2322">
        <v>0</v>
      </c>
      <c r="J283" s="2322">
        <v>0</v>
      </c>
      <c r="K283" s="2077">
        <v>0</v>
      </c>
      <c r="L283" s="1440">
        <v>0</v>
      </c>
      <c r="M283" s="625"/>
      <c r="N283" s="626"/>
      <c r="O283" s="625"/>
      <c r="P283" s="528"/>
      <c r="Q283" s="65"/>
      <c r="R283" s="604"/>
    </row>
    <row r="284" spans="1:18" ht="13.5" thickBot="1" x14ac:dyDescent="0.25">
      <c r="A284" s="617"/>
      <c r="B284" s="139"/>
      <c r="C284" s="595"/>
      <c r="D284" s="889"/>
      <c r="E284" s="884"/>
      <c r="F284" s="627"/>
      <c r="G284" s="884"/>
      <c r="H284" s="627"/>
      <c r="I284" s="627"/>
      <c r="J284" s="3029"/>
      <c r="K284" s="627"/>
      <c r="L284" s="628"/>
      <c r="M284" s="74"/>
    </row>
    <row r="285" spans="1:18" s="139" customFormat="1" ht="12" thickBot="1" x14ac:dyDescent="0.25">
      <c r="A285" s="2409" t="s">
        <v>557</v>
      </c>
      <c r="B285" s="2410"/>
      <c r="C285" s="2410"/>
      <c r="D285" s="2556">
        <f>SUM(D286:D289)</f>
        <v>17350</v>
      </c>
      <c r="E285" s="2412">
        <f t="shared" ref="E285:L285" si="33">SUM(E286,E287,E288,E289)</f>
        <v>16988</v>
      </c>
      <c r="F285" s="2442">
        <f t="shared" si="33"/>
        <v>15876</v>
      </c>
      <c r="G285" s="2412">
        <f t="shared" si="33"/>
        <v>15550</v>
      </c>
      <c r="H285" s="2415">
        <f t="shared" si="33"/>
        <v>17500</v>
      </c>
      <c r="I285" s="2416">
        <f>SUM(I286,I287,I288,I289)</f>
        <v>19924</v>
      </c>
      <c r="J285" s="2530">
        <f>SUM(J286,J287,J288,J289)</f>
        <v>27300</v>
      </c>
      <c r="K285" s="2418">
        <f t="shared" si="33"/>
        <v>25500</v>
      </c>
      <c r="L285" s="2444">
        <f t="shared" si="33"/>
        <v>23500</v>
      </c>
      <c r="M285" s="602"/>
      <c r="N285" s="584"/>
      <c r="O285" s="530"/>
      <c r="P285" s="530"/>
      <c r="Q285" s="530"/>
    </row>
    <row r="286" spans="1:18" s="20" customFormat="1" x14ac:dyDescent="0.2">
      <c r="A286" s="1645">
        <v>632</v>
      </c>
      <c r="B286" s="566"/>
      <c r="C286" s="2179" t="s">
        <v>198</v>
      </c>
      <c r="D286" s="1854">
        <v>12650</v>
      </c>
      <c r="E286" s="877">
        <v>13732</v>
      </c>
      <c r="F286" s="1643">
        <v>12995</v>
      </c>
      <c r="G286" s="877">
        <v>14050</v>
      </c>
      <c r="H286" s="2898">
        <v>16000</v>
      </c>
      <c r="I286" s="2358">
        <v>16000</v>
      </c>
      <c r="J286" s="2358">
        <v>22000</v>
      </c>
      <c r="K286" s="2082">
        <v>22000</v>
      </c>
      <c r="L286" s="1376">
        <v>20000</v>
      </c>
      <c r="M286" s="89"/>
      <c r="O286" s="73"/>
      <c r="P286" s="65"/>
      <c r="Q286" s="73"/>
      <c r="R286" s="16"/>
    </row>
    <row r="287" spans="1:18" s="34" customFormat="1" x14ac:dyDescent="0.2">
      <c r="A287" s="722">
        <v>633</v>
      </c>
      <c r="B287" s="43"/>
      <c r="C287" s="1105" t="s">
        <v>200</v>
      </c>
      <c r="D287" s="1835">
        <v>2800</v>
      </c>
      <c r="E287" s="2169">
        <v>3256</v>
      </c>
      <c r="F287" s="1433">
        <v>2184</v>
      </c>
      <c r="G287" s="2169">
        <v>1000</v>
      </c>
      <c r="H287" s="2853">
        <v>1000</v>
      </c>
      <c r="I287" s="2322">
        <v>2800</v>
      </c>
      <c r="J287" s="2322">
        <v>2800</v>
      </c>
      <c r="K287" s="2062">
        <v>1000</v>
      </c>
      <c r="L287" s="1374">
        <v>1000</v>
      </c>
      <c r="M287" s="89"/>
      <c r="N287" s="20"/>
      <c r="O287" s="65"/>
      <c r="P287" s="65"/>
      <c r="Q287" s="73"/>
      <c r="R287" s="16"/>
    </row>
    <row r="288" spans="1:18" x14ac:dyDescent="0.2">
      <c r="A288" s="722">
        <v>635</v>
      </c>
      <c r="B288" s="43"/>
      <c r="C288" s="1105" t="s">
        <v>294</v>
      </c>
      <c r="D288" s="1835">
        <v>500</v>
      </c>
      <c r="E288" s="2169">
        <v>0</v>
      </c>
      <c r="F288" s="1433">
        <v>0</v>
      </c>
      <c r="G288" s="2169">
        <v>500</v>
      </c>
      <c r="H288" s="2899">
        <v>500</v>
      </c>
      <c r="I288" s="2322">
        <v>500</v>
      </c>
      <c r="J288" s="2322">
        <v>500</v>
      </c>
      <c r="K288" s="2062">
        <v>500</v>
      </c>
      <c r="L288" s="1374">
        <v>500</v>
      </c>
      <c r="M288" s="89"/>
      <c r="O288" s="65"/>
      <c r="P288" s="65"/>
      <c r="Q288" s="73"/>
    </row>
    <row r="289" spans="1:18" ht="13.5" thickBot="1" x14ac:dyDescent="0.25">
      <c r="A289" s="723">
        <v>637</v>
      </c>
      <c r="B289" s="85"/>
      <c r="C289" s="1125" t="s">
        <v>208</v>
      </c>
      <c r="D289" s="2134">
        <v>1400</v>
      </c>
      <c r="E289" s="880">
        <v>0</v>
      </c>
      <c r="F289" s="2562">
        <v>697</v>
      </c>
      <c r="G289" s="880">
        <v>0</v>
      </c>
      <c r="H289" s="2904">
        <v>0</v>
      </c>
      <c r="I289" s="2357">
        <v>624</v>
      </c>
      <c r="J289" s="2357">
        <v>2000</v>
      </c>
      <c r="K289" s="2073">
        <v>2000</v>
      </c>
      <c r="L289" s="1370">
        <v>2000</v>
      </c>
      <c r="M289" s="89"/>
      <c r="O289" s="73"/>
      <c r="P289" s="65"/>
      <c r="Q289" s="73"/>
    </row>
    <row r="290" spans="1:18" ht="13.5" thickBot="1" x14ac:dyDescent="0.25">
      <c r="A290" s="2396" t="s">
        <v>558</v>
      </c>
      <c r="B290" s="2397"/>
      <c r="C290" s="2398" t="s">
        <v>444</v>
      </c>
      <c r="D290" s="2563">
        <f>D279+D285</f>
        <v>18350</v>
      </c>
      <c r="E290" s="2421">
        <f>SUM(E279,E285)</f>
        <v>18938</v>
      </c>
      <c r="F290" s="2559">
        <f t="shared" ref="F290:L290" si="34">F279+F285</f>
        <v>18000</v>
      </c>
      <c r="G290" s="2564">
        <f t="shared" si="34"/>
        <v>16550</v>
      </c>
      <c r="H290" s="2565">
        <f t="shared" si="34"/>
        <v>18500</v>
      </c>
      <c r="I290" s="2566">
        <f t="shared" si="34"/>
        <v>20774</v>
      </c>
      <c r="J290" s="2510">
        <f>J279+J285</f>
        <v>28300</v>
      </c>
      <c r="K290" s="2567">
        <f t="shared" si="34"/>
        <v>26500</v>
      </c>
      <c r="L290" s="2564">
        <f t="shared" si="34"/>
        <v>24500</v>
      </c>
      <c r="M290" s="90"/>
      <c r="N290" s="584"/>
      <c r="O290" s="530"/>
      <c r="P290" s="530"/>
      <c r="Q290" s="530"/>
    </row>
    <row r="291" spans="1:18" hidden="1" x14ac:dyDescent="0.2">
      <c r="A291" s="598"/>
      <c r="B291" s="65"/>
      <c r="C291" s="134"/>
      <c r="D291" s="134"/>
      <c r="E291" s="134"/>
      <c r="F291" s="134"/>
      <c r="G291" s="599"/>
      <c r="H291" s="599"/>
      <c r="I291" s="599"/>
      <c r="J291" s="2312"/>
      <c r="K291" s="599"/>
      <c r="L291" s="600"/>
      <c r="M291" s="137"/>
    </row>
    <row r="292" spans="1:18" x14ac:dyDescent="0.2">
      <c r="A292" s="629"/>
      <c r="B292" s="629"/>
      <c r="C292" s="629"/>
      <c r="D292" s="629"/>
      <c r="E292" s="629"/>
      <c r="F292" s="629"/>
      <c r="G292" s="630"/>
      <c r="H292" s="630"/>
      <c r="I292" s="630"/>
      <c r="J292" s="3028"/>
      <c r="K292" s="630"/>
      <c r="L292" s="630"/>
    </row>
    <row r="293" spans="1:18" ht="13.5" thickBot="1" x14ac:dyDescent="0.25">
      <c r="A293" s="629"/>
      <c r="B293" s="629"/>
      <c r="C293" s="629"/>
      <c r="D293" s="629"/>
      <c r="E293" s="629"/>
      <c r="F293" s="629"/>
      <c r="G293" s="630"/>
      <c r="H293" s="129"/>
      <c r="I293" s="129"/>
      <c r="J293" s="3028"/>
      <c r="K293" s="3795" t="s">
        <v>559</v>
      </c>
      <c r="L293" s="3795"/>
      <c r="M293" s="129"/>
      <c r="N293" s="129"/>
      <c r="O293" s="129"/>
      <c r="P293" s="129"/>
      <c r="Q293" s="129"/>
    </row>
    <row r="294" spans="1:18" ht="13.5" hidden="1" thickBot="1" x14ac:dyDescent="0.25">
      <c r="A294" s="629"/>
      <c r="B294" s="629"/>
      <c r="C294" s="629"/>
      <c r="D294" s="629"/>
      <c r="E294" s="629"/>
      <c r="F294" s="629"/>
      <c r="G294" s="630"/>
      <c r="H294" s="630"/>
      <c r="I294" s="630"/>
      <c r="J294" s="2314"/>
      <c r="K294" s="630"/>
      <c r="L294" s="630"/>
    </row>
    <row r="295" spans="1:18" ht="13.5" hidden="1" thickBot="1" x14ac:dyDescent="0.25">
      <c r="A295" s="20"/>
      <c r="B295" s="20"/>
      <c r="C295" s="20"/>
      <c r="D295" s="20"/>
      <c r="E295" s="20"/>
      <c r="F295" s="20"/>
      <c r="G295" s="107"/>
      <c r="H295" s="631"/>
      <c r="I295" s="631"/>
      <c r="J295" s="2313"/>
      <c r="K295" s="632"/>
      <c r="L295" s="632"/>
    </row>
    <row r="296" spans="1:18" s="592" customFormat="1" ht="23.25" thickBot="1" x14ac:dyDescent="0.25">
      <c r="A296" s="2352" t="s">
        <v>433</v>
      </c>
      <c r="B296" s="2353"/>
      <c r="C296" s="2354"/>
      <c r="D296" s="2355">
        <v>2018</v>
      </c>
      <c r="E296" s="3174" t="s">
        <v>825</v>
      </c>
      <c r="F296" s="3175" t="s">
        <v>958</v>
      </c>
      <c r="G296" s="2356">
        <v>2021</v>
      </c>
      <c r="H296" s="2343" t="s">
        <v>873</v>
      </c>
      <c r="I296" s="2343" t="s">
        <v>929</v>
      </c>
      <c r="J296" s="3113">
        <v>2022</v>
      </c>
      <c r="K296" s="2344">
        <v>2023</v>
      </c>
      <c r="L296" s="2345">
        <v>2024</v>
      </c>
      <c r="M296" s="589"/>
      <c r="N296" s="590"/>
      <c r="O296" s="591"/>
      <c r="P296" s="526"/>
      <c r="Q296" s="527"/>
    </row>
    <row r="297" spans="1:18" s="595" customFormat="1" ht="12" thickBot="1" x14ac:dyDescent="0.25">
      <c r="A297" s="2409" t="s">
        <v>560</v>
      </c>
      <c r="B297" s="2410"/>
      <c r="C297" s="2410"/>
      <c r="D297" s="2411">
        <f>SUM(D298:D306)-D299</f>
        <v>44434</v>
      </c>
      <c r="E297" s="2546">
        <f>SUM(E298,E300,E301,E302,E305,E306)+E307</f>
        <v>41562</v>
      </c>
      <c r="F297" s="2556">
        <f>SUM(F298:F306)-F299</f>
        <v>39387</v>
      </c>
      <c r="G297" s="2546">
        <f>SUM(G298,G300,G301,G302,G305,G306)</f>
        <v>38660</v>
      </c>
      <c r="H297" s="2548">
        <f>SUM(H298,H300,H301,H302,H305,H306)</f>
        <v>40660</v>
      </c>
      <c r="I297" s="2557">
        <f>SUM(I298:I307)</f>
        <v>51557</v>
      </c>
      <c r="J297" s="2530">
        <f>SUM(J298,J300,J301,J302,J305,J306)+J303+J304+J307</f>
        <v>50410</v>
      </c>
      <c r="K297" s="2418">
        <f>SUM(K298,K300,K301,K302,K305,K306)</f>
        <v>40200</v>
      </c>
      <c r="L297" s="2444">
        <f>SUM(L298,L300,L301,L302,L305,L306)</f>
        <v>40600</v>
      </c>
      <c r="M297" s="602"/>
      <c r="N297" s="584"/>
      <c r="O297" s="530"/>
      <c r="P297" s="530"/>
      <c r="Q297" s="530"/>
      <c r="R297" s="139"/>
    </row>
    <row r="298" spans="1:18" s="20" customFormat="1" x14ac:dyDescent="0.2">
      <c r="A298" s="555">
        <v>610</v>
      </c>
      <c r="B298" s="566"/>
      <c r="C298" s="2179" t="s">
        <v>561</v>
      </c>
      <c r="D298" s="1643">
        <v>10068</v>
      </c>
      <c r="E298" s="1854">
        <v>12717</v>
      </c>
      <c r="F298" s="1643">
        <v>12195</v>
      </c>
      <c r="G298" s="2852">
        <v>13500</v>
      </c>
      <c r="H298" s="3015">
        <v>13500</v>
      </c>
      <c r="I298" s="2358">
        <v>11500</v>
      </c>
      <c r="J298" s="2358">
        <v>14400</v>
      </c>
      <c r="K298" s="2082">
        <v>14600</v>
      </c>
      <c r="L298" s="1376">
        <v>14800</v>
      </c>
      <c r="M298" s="73" t="s">
        <v>902</v>
      </c>
      <c r="O298" s="73"/>
      <c r="P298" s="65"/>
      <c r="Q298" s="65"/>
      <c r="R298" s="16"/>
    </row>
    <row r="299" spans="1:18" s="20" customFormat="1" x14ac:dyDescent="0.2">
      <c r="A299" s="1768">
        <v>610</v>
      </c>
      <c r="B299" s="43"/>
      <c r="C299" s="1767" t="s">
        <v>753</v>
      </c>
      <c r="D299" s="1869">
        <v>1477</v>
      </c>
      <c r="E299" s="2188"/>
      <c r="F299" s="2273">
        <v>0</v>
      </c>
      <c r="G299" s="2897">
        <v>0</v>
      </c>
      <c r="H299" s="3026">
        <v>0</v>
      </c>
      <c r="I299" s="2322">
        <v>0</v>
      </c>
      <c r="J299" s="2322">
        <v>0</v>
      </c>
      <c r="K299" s="2062">
        <v>0</v>
      </c>
      <c r="L299" s="1374">
        <v>0</v>
      </c>
      <c r="M299" s="73"/>
      <c r="O299" s="73"/>
      <c r="P299" s="65"/>
      <c r="Q299" s="65"/>
      <c r="R299" s="16"/>
    </row>
    <row r="300" spans="1:18" s="34" customFormat="1" x14ac:dyDescent="0.2">
      <c r="A300" s="35">
        <v>620</v>
      </c>
      <c r="B300" s="43"/>
      <c r="C300" s="1105" t="s">
        <v>194</v>
      </c>
      <c r="D300" s="1433">
        <v>3216</v>
      </c>
      <c r="E300" s="1835">
        <v>4006</v>
      </c>
      <c r="F300" s="1433">
        <v>4003</v>
      </c>
      <c r="G300" s="2853">
        <v>4860</v>
      </c>
      <c r="H300" s="3016">
        <v>4860</v>
      </c>
      <c r="I300" s="2322">
        <v>4100</v>
      </c>
      <c r="J300" s="2322">
        <v>5100</v>
      </c>
      <c r="K300" s="2062">
        <v>5300</v>
      </c>
      <c r="L300" s="1374">
        <v>5500</v>
      </c>
      <c r="M300" s="73"/>
      <c r="N300" s="20"/>
      <c r="O300" s="65"/>
      <c r="P300" s="65"/>
      <c r="Q300" s="65"/>
      <c r="R300" s="16"/>
    </row>
    <row r="301" spans="1:18" x14ac:dyDescent="0.2">
      <c r="A301" s="35">
        <v>632</v>
      </c>
      <c r="B301" s="43"/>
      <c r="C301" s="1105" t="s">
        <v>198</v>
      </c>
      <c r="D301" s="1433">
        <v>15600</v>
      </c>
      <c r="E301" s="1835">
        <v>11922</v>
      </c>
      <c r="F301" s="1433">
        <v>18296</v>
      </c>
      <c r="G301" s="2853">
        <v>14700</v>
      </c>
      <c r="H301" s="3016">
        <v>14700</v>
      </c>
      <c r="I301" s="2322">
        <v>14700</v>
      </c>
      <c r="J301" s="2322">
        <v>14700</v>
      </c>
      <c r="K301" s="2062">
        <v>14700</v>
      </c>
      <c r="L301" s="1374">
        <v>14700</v>
      </c>
      <c r="M301" s="73"/>
      <c r="O301" s="73"/>
      <c r="P301" s="65"/>
      <c r="Q301" s="73"/>
    </row>
    <row r="302" spans="1:18" x14ac:dyDescent="0.2">
      <c r="A302" s="35">
        <v>633</v>
      </c>
      <c r="B302" s="43"/>
      <c r="C302" s="1105" t="s">
        <v>200</v>
      </c>
      <c r="D302" s="1433">
        <v>2000</v>
      </c>
      <c r="E302" s="1835">
        <v>1016</v>
      </c>
      <c r="F302" s="1433">
        <v>1907</v>
      </c>
      <c r="G302" s="2853">
        <v>100</v>
      </c>
      <c r="H302" s="3016">
        <v>100</v>
      </c>
      <c r="I302" s="2322">
        <v>4010</v>
      </c>
      <c r="J302" s="2322">
        <v>4010</v>
      </c>
      <c r="K302" s="2062">
        <v>100</v>
      </c>
      <c r="L302" s="1374">
        <v>100</v>
      </c>
      <c r="M302" s="73"/>
      <c r="O302" s="65"/>
      <c r="P302" s="65"/>
      <c r="Q302" s="65"/>
    </row>
    <row r="303" spans="1:18" customFormat="1" x14ac:dyDescent="0.2">
      <c r="C303" s="2851" t="s">
        <v>907</v>
      </c>
      <c r="D303" s="2249"/>
      <c r="F303" s="2249"/>
      <c r="G303" s="242"/>
      <c r="H303" s="242"/>
      <c r="I303" s="2322"/>
      <c r="J303" s="2322">
        <v>0</v>
      </c>
    </row>
    <row r="304" spans="1:18" x14ac:dyDescent="0.2">
      <c r="A304" s="84"/>
      <c r="B304" s="85"/>
      <c r="C304" s="1125" t="s">
        <v>908</v>
      </c>
      <c r="D304" s="1433"/>
      <c r="E304" s="1835"/>
      <c r="F304" s="1433"/>
      <c r="G304" s="2853"/>
      <c r="H304" s="3016"/>
      <c r="I304" s="2322"/>
      <c r="J304" s="2322">
        <v>5000</v>
      </c>
      <c r="K304" s="2062"/>
      <c r="L304" s="1374"/>
      <c r="M304" s="73"/>
      <c r="O304" s="65"/>
      <c r="P304" s="65"/>
      <c r="Q304" s="65"/>
    </row>
    <row r="305" spans="1:18" x14ac:dyDescent="0.2">
      <c r="A305" s="84">
        <v>635</v>
      </c>
      <c r="B305" s="85"/>
      <c r="C305" s="1125" t="s">
        <v>294</v>
      </c>
      <c r="D305" s="1433">
        <v>1550</v>
      </c>
      <c r="E305" s="1835">
        <v>1080</v>
      </c>
      <c r="F305" s="1433">
        <v>236</v>
      </c>
      <c r="G305" s="2853">
        <v>500</v>
      </c>
      <c r="H305" s="3016">
        <v>500</v>
      </c>
      <c r="I305" s="2322">
        <v>2200</v>
      </c>
      <c r="J305" s="2322">
        <v>2200</v>
      </c>
      <c r="K305" s="2062">
        <v>500</v>
      </c>
      <c r="L305" s="1374">
        <v>500</v>
      </c>
      <c r="M305" s="73"/>
      <c r="O305" s="65"/>
      <c r="P305" s="65"/>
      <c r="Q305" s="65"/>
    </row>
    <row r="306" spans="1:18" x14ac:dyDescent="0.2">
      <c r="A306" s="35">
        <v>637</v>
      </c>
      <c r="B306" s="43"/>
      <c r="C306" s="1105" t="s">
        <v>208</v>
      </c>
      <c r="D306" s="1433">
        <v>12000</v>
      </c>
      <c r="E306" s="1835">
        <v>8771</v>
      </c>
      <c r="F306" s="1433">
        <v>2750</v>
      </c>
      <c r="G306" s="2853">
        <v>5000</v>
      </c>
      <c r="H306" s="3016">
        <v>7000</v>
      </c>
      <c r="I306" s="2322">
        <v>13925</v>
      </c>
      <c r="J306" s="2322">
        <v>5000</v>
      </c>
      <c r="K306" s="2062">
        <v>5000</v>
      </c>
      <c r="L306" s="1374">
        <v>5000</v>
      </c>
      <c r="M306" s="73"/>
      <c r="O306" s="65"/>
      <c r="P306" s="65"/>
      <c r="Q306" s="65"/>
    </row>
    <row r="307" spans="1:18" customFormat="1" ht="13.5" thickBot="1" x14ac:dyDescent="0.25">
      <c r="C307" s="2851" t="s">
        <v>903</v>
      </c>
      <c r="E307" s="3152">
        <v>2050</v>
      </c>
      <c r="I307" s="2357">
        <v>1122</v>
      </c>
      <c r="J307" s="2357"/>
    </row>
    <row r="308" spans="1:18" ht="13.5" thickBot="1" x14ac:dyDescent="0.25">
      <c r="A308" s="2396" t="s">
        <v>562</v>
      </c>
      <c r="B308" s="2397"/>
      <c r="C308" s="2398" t="s">
        <v>563</v>
      </c>
      <c r="D308" s="2420">
        <f>D297</f>
        <v>44434</v>
      </c>
      <c r="E308" s="2421">
        <f>SUM(E297)</f>
        <v>41562</v>
      </c>
      <c r="F308" s="2559">
        <f>F297</f>
        <v>39387</v>
      </c>
      <c r="G308" s="2559">
        <f t="shared" ref="G308:L308" si="35">SUM(G297)</f>
        <v>38660</v>
      </c>
      <c r="H308" s="2560">
        <f t="shared" si="35"/>
        <v>40660</v>
      </c>
      <c r="I308" s="2561">
        <f t="shared" si="35"/>
        <v>51557</v>
      </c>
      <c r="J308" s="2558">
        <f t="shared" si="35"/>
        <v>50410</v>
      </c>
      <c r="K308" s="2404">
        <f t="shared" si="35"/>
        <v>40200</v>
      </c>
      <c r="L308" s="2405">
        <f t="shared" si="35"/>
        <v>40600</v>
      </c>
      <c r="M308" s="90"/>
      <c r="N308" s="584"/>
      <c r="O308" s="530"/>
      <c r="P308" s="530"/>
      <c r="Q308" s="530"/>
    </row>
    <row r="309" spans="1:18" x14ac:dyDescent="0.2">
      <c r="A309" s="598"/>
      <c r="B309" s="65"/>
      <c r="C309" s="134"/>
      <c r="D309" s="134"/>
      <c r="E309" s="134"/>
      <c r="F309" s="134"/>
      <c r="G309" s="599"/>
      <c r="H309" s="599"/>
      <c r="I309" s="599"/>
      <c r="J309" s="2071"/>
      <c r="K309" s="599"/>
      <c r="L309" s="600"/>
      <c r="M309" s="137"/>
    </row>
    <row r="310" spans="1:18" hidden="1" x14ac:dyDescent="0.2">
      <c r="A310" s="598"/>
      <c r="B310" s="65"/>
      <c r="C310" s="134"/>
      <c r="D310" s="134"/>
      <c r="E310" s="134"/>
      <c r="F310" s="134"/>
      <c r="G310" s="599"/>
      <c r="H310" s="599"/>
      <c r="I310" s="599"/>
      <c r="J310" s="2312"/>
      <c r="K310" s="599"/>
      <c r="L310" s="600"/>
      <c r="M310" s="137"/>
    </row>
    <row r="311" spans="1:18" hidden="1" x14ac:dyDescent="0.2">
      <c r="A311" s="598"/>
      <c r="B311" s="65"/>
      <c r="C311" s="134"/>
      <c r="D311" s="134"/>
      <c r="E311" s="134"/>
      <c r="F311" s="134"/>
      <c r="G311" s="599"/>
      <c r="H311" s="599"/>
      <c r="I311" s="599"/>
      <c r="J311" s="2312"/>
      <c r="K311" s="599"/>
      <c r="L311" s="600"/>
      <c r="M311" s="137"/>
    </row>
    <row r="312" spans="1:18" hidden="1" x14ac:dyDescent="0.2">
      <c r="A312" s="598"/>
      <c r="B312" s="65"/>
      <c r="C312" s="134"/>
      <c r="D312" s="134"/>
      <c r="E312" s="134"/>
      <c r="F312" s="134"/>
      <c r="G312" s="599"/>
      <c r="H312" s="599"/>
      <c r="I312" s="599"/>
      <c r="J312" s="2312"/>
      <c r="K312" s="599"/>
      <c r="L312" s="600"/>
      <c r="M312" s="137"/>
    </row>
    <row r="313" spans="1:18" hidden="1" x14ac:dyDescent="0.2">
      <c r="A313" s="598"/>
      <c r="B313" s="65"/>
      <c r="C313" s="134"/>
      <c r="D313" s="134"/>
      <c r="E313" s="134"/>
      <c r="F313" s="134"/>
      <c r="G313" s="599"/>
      <c r="H313" s="599"/>
      <c r="I313" s="599"/>
      <c r="J313" s="2312"/>
      <c r="K313" s="599"/>
      <c r="L313" s="600"/>
      <c r="M313" s="137"/>
    </row>
    <row r="314" spans="1:18" ht="13.5" thickBot="1" x14ac:dyDescent="0.25">
      <c r="A314" s="598"/>
      <c r="B314" s="65"/>
      <c r="C314" s="134"/>
      <c r="D314" s="134"/>
      <c r="E314" s="134"/>
      <c r="F314" s="134"/>
      <c r="G314" s="3705" t="s">
        <v>564</v>
      </c>
      <c r="H314" s="3705"/>
      <c r="I314" s="3705"/>
      <c r="J314" s="3705"/>
      <c r="K314" s="3705"/>
      <c r="L314" s="3705"/>
      <c r="M314" s="614"/>
      <c r="N314" s="614"/>
      <c r="O314" s="614"/>
      <c r="P314" s="614"/>
      <c r="Q314" s="614"/>
    </row>
    <row r="315" spans="1:18" ht="13.5" hidden="1" thickBot="1" x14ac:dyDescent="0.25">
      <c r="A315" s="598"/>
      <c r="B315" s="65"/>
      <c r="C315" s="134"/>
      <c r="D315" s="134"/>
      <c r="E315" s="134"/>
      <c r="F315" s="134"/>
      <c r="G315" s="599"/>
      <c r="H315" s="599"/>
      <c r="I315" s="599"/>
      <c r="J315" s="2312"/>
      <c r="K315" s="599"/>
      <c r="L315" s="600"/>
      <c r="M315" s="137"/>
    </row>
    <row r="316" spans="1:18" s="592" customFormat="1" ht="23.25" thickBot="1" x14ac:dyDescent="0.25">
      <c r="A316" s="2540" t="s">
        <v>433</v>
      </c>
      <c r="B316" s="2541"/>
      <c r="C316" s="1407"/>
      <c r="D316" s="2050">
        <v>2017</v>
      </c>
      <c r="E316" s="3174" t="s">
        <v>825</v>
      </c>
      <c r="F316" s="3175" t="s">
        <v>958</v>
      </c>
      <c r="G316" s="1408">
        <v>2021</v>
      </c>
      <c r="H316" s="2343" t="s">
        <v>873</v>
      </c>
      <c r="I316" s="2343" t="s">
        <v>929</v>
      </c>
      <c r="J316" s="3113">
        <v>2022</v>
      </c>
      <c r="K316" s="2344">
        <v>2023</v>
      </c>
      <c r="L316" s="2345">
        <v>2024</v>
      </c>
      <c r="M316" s="589"/>
      <c r="N316" s="590"/>
      <c r="O316" s="591"/>
      <c r="P316" s="526"/>
      <c r="Q316" s="527"/>
    </row>
    <row r="317" spans="1:18" s="139" customFormat="1" ht="12" thickBot="1" x14ac:dyDescent="0.25">
      <c r="A317" s="2550" t="s">
        <v>565</v>
      </c>
      <c r="B317" s="2551"/>
      <c r="C317" s="2551"/>
      <c r="D317" s="2552">
        <f>D318+D319+D320+D321+D322+D324</f>
        <v>31500</v>
      </c>
      <c r="E317" s="2553">
        <f>SUM(E318,E319,E320,E321,E322,E324)+E323</f>
        <v>36685</v>
      </c>
      <c r="F317" s="2554">
        <f>SUM(F318:F324)</f>
        <v>31029</v>
      </c>
      <c r="G317" s="2553">
        <f t="shared" ref="G317:L317" si="36">SUM(G318,G319,G320,G321,G322,G324)+G323</f>
        <v>25500</v>
      </c>
      <c r="H317" s="2555">
        <f t="shared" si="36"/>
        <v>25500</v>
      </c>
      <c r="I317" s="2555">
        <f t="shared" si="36"/>
        <v>26500</v>
      </c>
      <c r="J317" s="2549">
        <f t="shared" si="36"/>
        <v>34500</v>
      </c>
      <c r="K317" s="2527">
        <f t="shared" si="36"/>
        <v>36000</v>
      </c>
      <c r="L317" s="2528">
        <f t="shared" si="36"/>
        <v>36500</v>
      </c>
      <c r="M317" s="602"/>
      <c r="N317" s="584"/>
      <c r="O317" s="530"/>
      <c r="P317" s="530"/>
      <c r="Q317" s="530"/>
    </row>
    <row r="318" spans="1:18" s="20" customFormat="1" x14ac:dyDescent="0.2">
      <c r="A318" s="2542">
        <v>632</v>
      </c>
      <c r="B318" s="2543"/>
      <c r="C318" s="2544" t="s">
        <v>198</v>
      </c>
      <c r="D318" s="1643">
        <v>7500</v>
      </c>
      <c r="E318" s="877">
        <v>6587</v>
      </c>
      <c r="F318" s="1643">
        <v>7345</v>
      </c>
      <c r="G318" s="2852">
        <v>7500</v>
      </c>
      <c r="H318" s="2852">
        <v>7500</v>
      </c>
      <c r="I318" s="3058">
        <v>7500</v>
      </c>
      <c r="J318" s="2358">
        <v>10000</v>
      </c>
      <c r="K318" s="2082">
        <v>12000</v>
      </c>
      <c r="L318" s="1376">
        <v>12000</v>
      </c>
      <c r="M318" s="73"/>
      <c r="O318" s="73"/>
      <c r="P318" s="65"/>
      <c r="Q318" s="73"/>
      <c r="R318" s="16"/>
    </row>
    <row r="319" spans="1:18" s="34" customFormat="1" x14ac:dyDescent="0.2">
      <c r="A319" s="1124">
        <v>633</v>
      </c>
      <c r="B319" s="1122"/>
      <c r="C319" s="1114" t="s">
        <v>200</v>
      </c>
      <c r="D319" s="1433">
        <v>3000</v>
      </c>
      <c r="E319" s="2169">
        <v>3766</v>
      </c>
      <c r="F319" s="1433">
        <v>3184</v>
      </c>
      <c r="G319" s="2853">
        <v>2000</v>
      </c>
      <c r="H319" s="2853">
        <v>2000</v>
      </c>
      <c r="I319" s="3048">
        <v>2000</v>
      </c>
      <c r="J319" s="2322">
        <v>2000</v>
      </c>
      <c r="K319" s="2062">
        <v>1000</v>
      </c>
      <c r="L319" s="1374">
        <v>1000</v>
      </c>
      <c r="M319" s="73"/>
      <c r="N319" s="20"/>
      <c r="O319" s="65"/>
      <c r="P319" s="65"/>
      <c r="Q319" s="73"/>
      <c r="R319" s="16"/>
    </row>
    <row r="320" spans="1:18" x14ac:dyDescent="0.2">
      <c r="A320" s="1124">
        <v>634</v>
      </c>
      <c r="B320" s="1122"/>
      <c r="C320" s="1114" t="s">
        <v>348</v>
      </c>
      <c r="D320" s="1433">
        <v>2500</v>
      </c>
      <c r="E320" s="2169">
        <v>2664</v>
      </c>
      <c r="F320" s="1433">
        <v>2227</v>
      </c>
      <c r="G320" s="2853">
        <v>4000</v>
      </c>
      <c r="H320" s="2853">
        <v>4000</v>
      </c>
      <c r="I320" s="3048">
        <v>5000</v>
      </c>
      <c r="J320" s="2322">
        <v>5000</v>
      </c>
      <c r="K320" s="2062">
        <v>5000</v>
      </c>
      <c r="L320" s="1374">
        <v>5000</v>
      </c>
      <c r="M320" s="73"/>
      <c r="O320" s="73"/>
      <c r="P320" s="65"/>
      <c r="Q320" s="73"/>
    </row>
    <row r="321" spans="1:18" x14ac:dyDescent="0.2">
      <c r="A321" s="1124">
        <v>635</v>
      </c>
      <c r="B321" s="1122"/>
      <c r="C321" s="1114" t="s">
        <v>294</v>
      </c>
      <c r="D321" s="1433">
        <v>500</v>
      </c>
      <c r="E321" s="2169">
        <v>2495</v>
      </c>
      <c r="F321" s="1433">
        <v>438</v>
      </c>
      <c r="G321" s="2853">
        <v>500</v>
      </c>
      <c r="H321" s="2853">
        <v>500</v>
      </c>
      <c r="I321" s="3048">
        <v>500</v>
      </c>
      <c r="J321" s="2322">
        <v>500</v>
      </c>
      <c r="K321" s="2062">
        <v>500</v>
      </c>
      <c r="L321" s="1374">
        <v>500</v>
      </c>
      <c r="M321" s="73"/>
      <c r="O321" s="65"/>
      <c r="P321" s="65"/>
      <c r="Q321" s="73"/>
    </row>
    <row r="322" spans="1:18" x14ac:dyDescent="0.2">
      <c r="A322" s="1124">
        <v>637</v>
      </c>
      <c r="B322" s="1122"/>
      <c r="C322" s="1114" t="s">
        <v>830</v>
      </c>
      <c r="D322" s="1433">
        <v>3000</v>
      </c>
      <c r="E322" s="2169">
        <v>5120</v>
      </c>
      <c r="F322" s="1433">
        <v>1509</v>
      </c>
      <c r="G322" s="2853">
        <v>1000</v>
      </c>
      <c r="H322" s="2853">
        <v>1000</v>
      </c>
      <c r="I322" s="3048">
        <v>1000</v>
      </c>
      <c r="J322" s="2322">
        <v>1000</v>
      </c>
      <c r="K322" s="2062">
        <v>1000</v>
      </c>
      <c r="L322" s="1374">
        <v>1000</v>
      </c>
      <c r="M322" s="73"/>
      <c r="O322" s="65"/>
      <c r="P322" s="65"/>
      <c r="Q322" s="73"/>
    </row>
    <row r="323" spans="1:18" x14ac:dyDescent="0.2">
      <c r="A323" s="1124">
        <v>637</v>
      </c>
      <c r="B323" s="1122"/>
      <c r="C323" s="1114" t="s">
        <v>789</v>
      </c>
      <c r="D323" s="1433"/>
      <c r="E323" s="2169">
        <v>500</v>
      </c>
      <c r="F323" s="1433"/>
      <c r="G323" s="2853"/>
      <c r="H323" s="2853"/>
      <c r="I323" s="3048"/>
      <c r="J323" s="2322"/>
      <c r="K323" s="2062"/>
      <c r="L323" s="1374"/>
      <c r="M323" s="73"/>
      <c r="O323" s="65"/>
      <c r="P323" s="65"/>
      <c r="Q323" s="73"/>
    </row>
    <row r="324" spans="1:18" x14ac:dyDescent="0.2">
      <c r="A324" s="1124">
        <v>642</v>
      </c>
      <c r="B324" s="1122"/>
      <c r="C324" s="1114" t="s">
        <v>566</v>
      </c>
      <c r="D324" s="1433">
        <f t="shared" ref="D324:L324" si="37">D325+D327+D328</f>
        <v>15000</v>
      </c>
      <c r="E324" s="2169">
        <f t="shared" si="37"/>
        <v>15553</v>
      </c>
      <c r="F324" s="1433">
        <f t="shared" si="37"/>
        <v>16326</v>
      </c>
      <c r="G324" s="2853">
        <f t="shared" ref="G324" si="38">G325+G327+G328</f>
        <v>10500</v>
      </c>
      <c r="H324" s="2853">
        <f t="shared" si="37"/>
        <v>10500</v>
      </c>
      <c r="I324" s="3048">
        <f>I325+I327+I328</f>
        <v>10500</v>
      </c>
      <c r="J324" s="2322">
        <f>J325+J327+J328</f>
        <v>16000</v>
      </c>
      <c r="K324" s="2062">
        <f t="shared" si="37"/>
        <v>16500</v>
      </c>
      <c r="L324" s="1374">
        <f t="shared" si="37"/>
        <v>17000</v>
      </c>
      <c r="M324" s="73"/>
      <c r="O324" s="73"/>
      <c r="P324" s="65"/>
      <c r="Q324" s="73"/>
    </row>
    <row r="325" spans="1:18" x14ac:dyDescent="0.2">
      <c r="A325" s="633"/>
      <c r="B325" s="634"/>
      <c r="C325" s="1105" t="s">
        <v>567</v>
      </c>
      <c r="D325" s="1641">
        <v>10000</v>
      </c>
      <c r="E325" s="2171">
        <v>14653</v>
      </c>
      <c r="F325" s="1641">
        <v>16326</v>
      </c>
      <c r="G325" s="2887">
        <v>10000</v>
      </c>
      <c r="H325" s="2887">
        <v>10000</v>
      </c>
      <c r="I325" s="3052">
        <v>10000</v>
      </c>
      <c r="J325" s="2322">
        <v>15000</v>
      </c>
      <c r="K325" s="2078">
        <v>15000</v>
      </c>
      <c r="L325" s="2079">
        <v>15000</v>
      </c>
      <c r="M325" s="73"/>
      <c r="O325" s="73"/>
      <c r="P325" s="65"/>
      <c r="Q325" s="73"/>
    </row>
    <row r="326" spans="1:18" x14ac:dyDescent="0.2">
      <c r="A326" s="633"/>
      <c r="B326" s="634"/>
      <c r="C326" s="1105" t="s">
        <v>774</v>
      </c>
      <c r="D326" s="1641"/>
      <c r="E326" s="2171"/>
      <c r="F326" s="1641"/>
      <c r="G326" s="2887"/>
      <c r="H326" s="2887"/>
      <c r="I326" s="3052"/>
      <c r="J326" s="2322"/>
      <c r="K326" s="2078"/>
      <c r="L326" s="2079"/>
      <c r="M326" s="73"/>
      <c r="O326" s="73"/>
      <c r="P326" s="65"/>
      <c r="Q326" s="73"/>
    </row>
    <row r="327" spans="1:18" x14ac:dyDescent="0.2">
      <c r="A327" s="2218"/>
      <c r="B327" s="2219"/>
      <c r="C327" s="1125" t="s">
        <v>568</v>
      </c>
      <c r="D327" s="2220">
        <v>5000</v>
      </c>
      <c r="E327" s="2259">
        <v>900</v>
      </c>
      <c r="F327" s="1641">
        <v>0</v>
      </c>
      <c r="G327" s="2887">
        <v>500</v>
      </c>
      <c r="H327" s="2887">
        <v>500</v>
      </c>
      <c r="I327" s="3052">
        <v>500</v>
      </c>
      <c r="J327" s="2322">
        <v>1000</v>
      </c>
      <c r="K327" s="2078">
        <v>1500</v>
      </c>
      <c r="L327" s="2079">
        <v>2000</v>
      </c>
      <c r="M327" s="73"/>
      <c r="O327" s="73"/>
      <c r="P327" s="65"/>
      <c r="Q327" s="73"/>
    </row>
    <row r="328" spans="1:18" ht="13.5" thickBot="1" x14ac:dyDescent="0.25">
      <c r="A328" s="2178"/>
      <c r="B328" s="2177"/>
      <c r="C328" s="1126" t="s">
        <v>590</v>
      </c>
      <c r="D328" s="1641">
        <v>0</v>
      </c>
      <c r="E328" s="1855">
        <v>0</v>
      </c>
      <c r="F328" s="1641"/>
      <c r="G328" s="2896"/>
      <c r="H328" s="2896"/>
      <c r="I328" s="3074"/>
      <c r="J328" s="2322"/>
      <c r="K328" s="2080"/>
      <c r="L328" s="2081"/>
      <c r="M328" s="73"/>
      <c r="O328" s="73"/>
      <c r="P328" s="65"/>
      <c r="Q328" s="73"/>
    </row>
    <row r="329" spans="1:18" ht="13.5" hidden="1" thickBot="1" x14ac:dyDescent="0.25">
      <c r="A329" s="2178"/>
      <c r="B329" s="2532"/>
      <c r="C329" s="2533"/>
      <c r="D329" s="2450"/>
      <c r="E329" s="2534"/>
      <c r="F329" s="2535"/>
      <c r="G329" s="2534"/>
      <c r="H329" s="19"/>
      <c r="I329" s="19"/>
      <c r="J329" s="2357"/>
      <c r="K329" s="56"/>
      <c r="L329" s="1442"/>
      <c r="M329" s="74"/>
    </row>
    <row r="330" spans="1:18" s="139" customFormat="1" ht="12.75" customHeight="1" thickBot="1" x14ac:dyDescent="0.25">
      <c r="A330" s="2531" t="s">
        <v>569</v>
      </c>
      <c r="B330" s="2453"/>
      <c r="C330" s="2454"/>
      <c r="D330" s="2411">
        <f>D331+D332+D333+D352</f>
        <v>63946</v>
      </c>
      <c r="E330" s="2411">
        <f>SUM(E331,E332,E333)+E352</f>
        <v>49863</v>
      </c>
      <c r="F330" s="2411">
        <f>SUM(F331,F332,F333,F352)</f>
        <v>40606</v>
      </c>
      <c r="G330" s="2411">
        <f>SUM(G331,G332,G333)+G352</f>
        <v>52100</v>
      </c>
      <c r="H330" s="2536">
        <f>SUM(H331,H332,H333,H352)</f>
        <v>52100</v>
      </c>
      <c r="I330" s="2537">
        <f>SUM(I331,I332,I333)</f>
        <v>46600</v>
      </c>
      <c r="J330" s="2530">
        <f>SUM(J331,J332,J333)</f>
        <v>50350</v>
      </c>
      <c r="K330" s="2538">
        <f>SUM(K331,K332,K333)</f>
        <v>54610</v>
      </c>
      <c r="L330" s="2539">
        <f>SUM(L331,L332,L333)</f>
        <v>58110</v>
      </c>
      <c r="M330" s="602"/>
      <c r="N330" s="71"/>
      <c r="O330" s="90"/>
      <c r="P330" s="90"/>
      <c r="Q330" s="90"/>
      <c r="R330" s="531"/>
    </row>
    <row r="331" spans="1:18" ht="12.75" customHeight="1" x14ac:dyDescent="0.2">
      <c r="A331" s="2221">
        <v>610</v>
      </c>
      <c r="B331" s="2222"/>
      <c r="C331" s="2223" t="s">
        <v>449</v>
      </c>
      <c r="D331" s="1643">
        <v>20000</v>
      </c>
      <c r="E331" s="877">
        <v>17285</v>
      </c>
      <c r="F331" s="1643">
        <v>19735</v>
      </c>
      <c r="G331" s="2852">
        <v>22000</v>
      </c>
      <c r="H331" s="2852">
        <v>22000</v>
      </c>
      <c r="I331" s="2358">
        <v>22000</v>
      </c>
      <c r="J331" s="2358">
        <v>23000</v>
      </c>
      <c r="K331" s="2082">
        <v>24000</v>
      </c>
      <c r="L331" s="3127">
        <v>25000</v>
      </c>
      <c r="M331" s="89"/>
      <c r="N331" s="90"/>
      <c r="O331" s="89"/>
      <c r="P331" s="89"/>
      <c r="Q331" s="89"/>
    </row>
    <row r="332" spans="1:18" s="34" customFormat="1" x14ac:dyDescent="0.2">
      <c r="A332" s="1121">
        <v>620</v>
      </c>
      <c r="B332" s="1122"/>
      <c r="C332" s="1113" t="s">
        <v>194</v>
      </c>
      <c r="D332" s="1433">
        <v>7300</v>
      </c>
      <c r="E332" s="2169">
        <v>6644</v>
      </c>
      <c r="F332" s="1433">
        <v>7087</v>
      </c>
      <c r="G332" s="2853">
        <v>8000</v>
      </c>
      <c r="H332" s="2853">
        <v>8000</v>
      </c>
      <c r="I332" s="2322">
        <v>8000</v>
      </c>
      <c r="J332" s="2322">
        <v>8250</v>
      </c>
      <c r="K332" s="2062">
        <v>8510</v>
      </c>
      <c r="L332" s="3128">
        <v>8510</v>
      </c>
      <c r="M332" s="89"/>
      <c r="N332" s="90"/>
      <c r="O332" s="89"/>
      <c r="P332" s="89"/>
      <c r="Q332" s="89"/>
      <c r="R332" s="16"/>
    </row>
    <row r="333" spans="1:18" ht="12.75" customHeight="1" x14ac:dyDescent="0.2">
      <c r="A333" s="1123">
        <v>630</v>
      </c>
      <c r="B333" s="709"/>
      <c r="C333" s="1114" t="s">
        <v>363</v>
      </c>
      <c r="D333" s="1433">
        <f>SUM(D334,D335,D336,D338,D341,D349,D343,D345,D346,D348,D337,D347)+D339+D344+D340</f>
        <v>35646</v>
      </c>
      <c r="E333" s="2169">
        <f>SUM(E334,E335,E336,E338,E341,E349,E343,E345,E346,E348,E337,E347)+E339+E344+E340</f>
        <v>25524</v>
      </c>
      <c r="F333" s="1433">
        <f>SUM(F334,F335,F336,F338,F341,F349,F343,F345,F346,F348,F337,F347)+F339+F344+F340+F351</f>
        <v>13784</v>
      </c>
      <c r="G333" s="2853">
        <f>SUM(G334,G335,G336,G338,G341,G349,G343,G345,G346,G348,G337,G347)+G339+G344+G340+G351</f>
        <v>21600</v>
      </c>
      <c r="H333" s="2853">
        <f>SUM(H334,H335,H336,H338,H341,H349,H343,H345,H346,H348,H337,H347)+H339+H344+H340+H351</f>
        <v>21600</v>
      </c>
      <c r="I333" s="2322">
        <f>SUM(I334:I352)</f>
        <v>16600</v>
      </c>
      <c r="J333" s="2322">
        <f>SUM(J334:J352)</f>
        <v>19100</v>
      </c>
      <c r="K333" s="2062">
        <f>SUM(K334:K352)</f>
        <v>22100</v>
      </c>
      <c r="L333" s="3128">
        <f>SUM(L334:L352)</f>
        <v>24600</v>
      </c>
      <c r="M333" s="89"/>
      <c r="N333" s="104"/>
      <c r="O333" s="73"/>
      <c r="P333" s="73"/>
      <c r="Q333" s="73"/>
    </row>
    <row r="334" spans="1:18" x14ac:dyDescent="0.2">
      <c r="A334" s="35" t="s">
        <v>452</v>
      </c>
      <c r="B334" s="36"/>
      <c r="C334" s="1105" t="s">
        <v>196</v>
      </c>
      <c r="D334" s="1641">
        <v>100</v>
      </c>
      <c r="E334" s="2171">
        <v>146</v>
      </c>
      <c r="F334" s="1641">
        <v>87</v>
      </c>
      <c r="G334" s="2887">
        <v>100</v>
      </c>
      <c r="H334" s="2887">
        <v>100</v>
      </c>
      <c r="I334" s="3123">
        <v>100</v>
      </c>
      <c r="J334" s="3123">
        <v>100</v>
      </c>
      <c r="K334" s="3124">
        <v>100</v>
      </c>
      <c r="L334" s="3125">
        <v>100</v>
      </c>
      <c r="M334" s="581"/>
      <c r="O334" s="603"/>
      <c r="P334" s="572"/>
      <c r="Q334" s="581"/>
    </row>
    <row r="335" spans="1:18" x14ac:dyDescent="0.2">
      <c r="A335" s="35">
        <v>632</v>
      </c>
      <c r="B335" s="36"/>
      <c r="C335" s="1105" t="s">
        <v>453</v>
      </c>
      <c r="D335" s="1641">
        <v>11030</v>
      </c>
      <c r="E335" s="2171">
        <v>9131</v>
      </c>
      <c r="F335" s="1641">
        <v>9674</v>
      </c>
      <c r="G335" s="2887">
        <v>10000</v>
      </c>
      <c r="H335" s="2887">
        <v>10000</v>
      </c>
      <c r="I335" s="3123">
        <v>10000</v>
      </c>
      <c r="J335" s="3123">
        <v>10000</v>
      </c>
      <c r="K335" s="3124">
        <v>10000</v>
      </c>
      <c r="L335" s="3125">
        <v>10000</v>
      </c>
      <c r="M335" s="581"/>
      <c r="O335" s="581"/>
      <c r="P335" s="572"/>
      <c r="Q335" s="581"/>
    </row>
    <row r="336" spans="1:18" x14ac:dyDescent="0.2">
      <c r="A336" s="42">
        <v>633</v>
      </c>
      <c r="B336" s="43"/>
      <c r="C336" s="1112" t="s">
        <v>200</v>
      </c>
      <c r="D336" s="1641">
        <v>3000</v>
      </c>
      <c r="E336" s="2171">
        <v>1075</v>
      </c>
      <c r="F336" s="1641">
        <v>2787</v>
      </c>
      <c r="G336" s="2887">
        <v>2000</v>
      </c>
      <c r="H336" s="2887">
        <v>2000</v>
      </c>
      <c r="I336" s="3123">
        <v>500</v>
      </c>
      <c r="J336" s="3123">
        <v>500</v>
      </c>
      <c r="K336" s="3124">
        <v>2000</v>
      </c>
      <c r="L336" s="3125">
        <v>2000</v>
      </c>
      <c r="M336" s="581"/>
      <c r="O336" s="581"/>
      <c r="P336" s="572"/>
      <c r="Q336" s="581"/>
    </row>
    <row r="337" spans="1:18" x14ac:dyDescent="0.2">
      <c r="A337" s="42">
        <v>633</v>
      </c>
      <c r="B337" s="43" t="s">
        <v>111</v>
      </c>
      <c r="C337" s="1112" t="s">
        <v>570</v>
      </c>
      <c r="D337" s="1641">
        <v>300</v>
      </c>
      <c r="E337" s="2171">
        <v>0</v>
      </c>
      <c r="F337" s="1641">
        <v>0</v>
      </c>
      <c r="G337" s="2887">
        <v>300</v>
      </c>
      <c r="H337" s="2887">
        <v>300</v>
      </c>
      <c r="I337" s="3123">
        <v>300</v>
      </c>
      <c r="J337" s="3123">
        <v>300</v>
      </c>
      <c r="K337" s="3124">
        <v>300</v>
      </c>
      <c r="L337" s="3125">
        <v>300</v>
      </c>
      <c r="M337" s="586"/>
      <c r="O337" s="615"/>
      <c r="P337" s="528"/>
      <c r="Q337" s="586"/>
    </row>
    <row r="338" spans="1:18" x14ac:dyDescent="0.2">
      <c r="A338" s="42">
        <v>633</v>
      </c>
      <c r="B338" s="43" t="s">
        <v>468</v>
      </c>
      <c r="C338" s="1112" t="s">
        <v>358</v>
      </c>
      <c r="D338" s="1641">
        <v>500</v>
      </c>
      <c r="E338" s="2171">
        <v>800</v>
      </c>
      <c r="F338" s="1641">
        <v>18</v>
      </c>
      <c r="G338" s="2887">
        <v>500</v>
      </c>
      <c r="H338" s="2887">
        <v>500</v>
      </c>
      <c r="I338" s="3123">
        <v>500</v>
      </c>
      <c r="J338" s="3123">
        <v>500</v>
      </c>
      <c r="K338" s="3124">
        <v>500</v>
      </c>
      <c r="L338" s="3125">
        <v>500</v>
      </c>
      <c r="M338" s="581"/>
      <c r="O338" s="603"/>
      <c r="P338" s="572"/>
      <c r="Q338" s="581"/>
    </row>
    <row r="339" spans="1:18" x14ac:dyDescent="0.2">
      <c r="A339" s="733">
        <v>633</v>
      </c>
      <c r="B339" s="734" t="s">
        <v>468</v>
      </c>
      <c r="C339" s="1117" t="s">
        <v>469</v>
      </c>
      <c r="D339" s="1867">
        <v>0</v>
      </c>
      <c r="E339" s="2260">
        <v>0</v>
      </c>
      <c r="F339" s="1867">
        <v>0</v>
      </c>
      <c r="G339" s="2891">
        <v>0</v>
      </c>
      <c r="H339" s="2891">
        <v>0</v>
      </c>
      <c r="I339" s="3123">
        <v>0</v>
      </c>
      <c r="J339" s="3123">
        <v>0</v>
      </c>
      <c r="K339" s="3124">
        <v>0</v>
      </c>
      <c r="L339" s="3126">
        <v>0</v>
      </c>
      <c r="M339" s="581"/>
      <c r="O339" s="603"/>
      <c r="P339" s="572"/>
      <c r="Q339" s="581"/>
    </row>
    <row r="340" spans="1:18" x14ac:dyDescent="0.2">
      <c r="A340" s="42">
        <v>633</v>
      </c>
      <c r="B340" s="43" t="s">
        <v>468</v>
      </c>
      <c r="C340" s="1112" t="s">
        <v>708</v>
      </c>
      <c r="D340" s="1641">
        <v>1400</v>
      </c>
      <c r="E340" s="2171">
        <v>799</v>
      </c>
      <c r="F340" s="1641">
        <v>410</v>
      </c>
      <c r="G340" s="2887">
        <v>1000</v>
      </c>
      <c r="H340" s="2887">
        <v>1000</v>
      </c>
      <c r="I340" s="3123">
        <v>200</v>
      </c>
      <c r="J340" s="3123">
        <v>1000</v>
      </c>
      <c r="K340" s="3124">
        <v>1000</v>
      </c>
      <c r="L340" s="3125">
        <v>1000</v>
      </c>
      <c r="M340" s="581"/>
      <c r="O340" s="603"/>
      <c r="P340" s="572"/>
      <c r="Q340" s="581"/>
    </row>
    <row r="341" spans="1:18" x14ac:dyDescent="0.2">
      <c r="A341" s="42">
        <v>642</v>
      </c>
      <c r="B341" s="637"/>
      <c r="C341" s="1104" t="s">
        <v>571</v>
      </c>
      <c r="D341" s="1641">
        <v>0</v>
      </c>
      <c r="E341" s="2171">
        <v>0</v>
      </c>
      <c r="F341" s="1641">
        <v>0</v>
      </c>
      <c r="G341" s="2887">
        <v>0</v>
      </c>
      <c r="H341" s="2887">
        <v>0</v>
      </c>
      <c r="I341" s="2322">
        <v>0</v>
      </c>
      <c r="J341" s="3123">
        <v>0</v>
      </c>
      <c r="K341" s="3124"/>
      <c r="L341" s="3125"/>
      <c r="M341" s="581"/>
      <c r="O341" s="603"/>
      <c r="P341" s="572"/>
      <c r="Q341" s="581"/>
    </row>
    <row r="342" spans="1:18" hidden="1" x14ac:dyDescent="0.2">
      <c r="A342" s="885"/>
      <c r="B342" s="886"/>
      <c r="C342" s="1118"/>
      <c r="D342" s="1852"/>
      <c r="E342" s="2257"/>
      <c r="F342" s="1852"/>
      <c r="G342" s="1443"/>
      <c r="H342" s="1443"/>
      <c r="I342" s="2322"/>
      <c r="J342" s="3123"/>
      <c r="K342" s="3129"/>
      <c r="L342" s="3132"/>
      <c r="M342" s="581"/>
      <c r="O342" s="603"/>
      <c r="P342" s="572"/>
      <c r="Q342" s="581"/>
    </row>
    <row r="343" spans="1:18" x14ac:dyDescent="0.2">
      <c r="A343" s="42">
        <v>634</v>
      </c>
      <c r="B343" s="43"/>
      <c r="C343" s="1112" t="s">
        <v>202</v>
      </c>
      <c r="D343" s="1641">
        <v>200</v>
      </c>
      <c r="E343" s="2171">
        <v>0</v>
      </c>
      <c r="F343" s="1641">
        <v>0</v>
      </c>
      <c r="G343" s="2887">
        <v>200</v>
      </c>
      <c r="H343" s="2887">
        <v>200</v>
      </c>
      <c r="I343" s="3123">
        <v>0</v>
      </c>
      <c r="J343" s="3123">
        <v>200</v>
      </c>
      <c r="K343" s="3124">
        <v>200</v>
      </c>
      <c r="L343" s="3125">
        <v>200</v>
      </c>
      <c r="M343" s="581"/>
      <c r="O343" s="603"/>
      <c r="P343" s="572"/>
      <c r="Q343" s="581"/>
    </row>
    <row r="344" spans="1:18" x14ac:dyDescent="0.2">
      <c r="A344" s="42">
        <v>634</v>
      </c>
      <c r="B344" s="43" t="s">
        <v>111</v>
      </c>
      <c r="C344" s="1112" t="s">
        <v>940</v>
      </c>
      <c r="D344" s="1868">
        <v>1500</v>
      </c>
      <c r="E344" s="2261">
        <v>1963</v>
      </c>
      <c r="F344" s="1868">
        <v>0</v>
      </c>
      <c r="G344" s="2892">
        <v>1500</v>
      </c>
      <c r="H344" s="2892">
        <v>1500</v>
      </c>
      <c r="I344" s="3123">
        <v>0</v>
      </c>
      <c r="J344" s="3123">
        <v>1500</v>
      </c>
      <c r="K344" s="3124">
        <v>1500</v>
      </c>
      <c r="L344" s="3133">
        <v>1500</v>
      </c>
      <c r="M344" s="581"/>
      <c r="O344" s="603"/>
      <c r="P344" s="572"/>
      <c r="Q344" s="581"/>
    </row>
    <row r="345" spans="1:18" x14ac:dyDescent="0.2">
      <c r="A345" s="42">
        <v>635</v>
      </c>
      <c r="B345" s="43"/>
      <c r="C345" s="1112" t="s">
        <v>294</v>
      </c>
      <c r="D345" s="1641">
        <v>500</v>
      </c>
      <c r="E345" s="2171">
        <v>2945</v>
      </c>
      <c r="F345" s="1641">
        <v>416</v>
      </c>
      <c r="G345" s="2887">
        <v>1000</v>
      </c>
      <c r="H345" s="2887">
        <v>1000</v>
      </c>
      <c r="I345" s="3123">
        <v>1000</v>
      </c>
      <c r="J345" s="3123">
        <v>1000</v>
      </c>
      <c r="K345" s="3124">
        <v>1000</v>
      </c>
      <c r="L345" s="3125">
        <v>1000</v>
      </c>
      <c r="M345" s="581"/>
      <c r="O345" s="603"/>
      <c r="P345" s="572"/>
      <c r="Q345" s="581"/>
      <c r="R345" s="559"/>
    </row>
    <row r="346" spans="1:18" x14ac:dyDescent="0.2">
      <c r="A346" s="533">
        <v>636</v>
      </c>
      <c r="B346" s="558" t="s">
        <v>97</v>
      </c>
      <c r="C346" s="1119" t="s">
        <v>572</v>
      </c>
      <c r="D346" s="1641">
        <v>0</v>
      </c>
      <c r="E346" s="2171">
        <v>0</v>
      </c>
      <c r="F346" s="1641"/>
      <c r="G346" s="2887">
        <v>0</v>
      </c>
      <c r="H346" s="2887">
        <v>0</v>
      </c>
      <c r="I346" s="3123">
        <v>0</v>
      </c>
      <c r="J346" s="3123">
        <v>0</v>
      </c>
      <c r="K346" s="3124">
        <v>0</v>
      </c>
      <c r="L346" s="3125">
        <v>0</v>
      </c>
      <c r="M346" s="586"/>
      <c r="O346" s="615"/>
      <c r="P346" s="528"/>
      <c r="Q346" s="581"/>
    </row>
    <row r="347" spans="1:18" x14ac:dyDescent="0.2">
      <c r="A347" s="576">
        <v>637</v>
      </c>
      <c r="B347" s="577"/>
      <c r="C347" s="1120" t="s">
        <v>692</v>
      </c>
      <c r="D347" s="1844">
        <v>0</v>
      </c>
      <c r="E347" s="2174">
        <v>0</v>
      </c>
      <c r="F347" s="1844"/>
      <c r="G347" s="2893"/>
      <c r="H347" s="2893"/>
      <c r="I347" s="3123"/>
      <c r="J347" s="3123"/>
      <c r="K347" s="3124"/>
      <c r="L347" s="3134"/>
      <c r="M347" s="586"/>
      <c r="O347" s="615"/>
      <c r="P347" s="528"/>
      <c r="Q347" s="581"/>
    </row>
    <row r="348" spans="1:18" x14ac:dyDescent="0.2">
      <c r="A348" s="42">
        <v>637</v>
      </c>
      <c r="B348" s="43"/>
      <c r="C348" s="1112" t="s">
        <v>208</v>
      </c>
      <c r="D348" s="1641">
        <v>2000</v>
      </c>
      <c r="E348" s="2171">
        <v>534</v>
      </c>
      <c r="F348" s="1641">
        <v>392</v>
      </c>
      <c r="G348" s="2887">
        <v>500</v>
      </c>
      <c r="H348" s="2887">
        <v>500</v>
      </c>
      <c r="I348" s="3123">
        <v>500</v>
      </c>
      <c r="J348" s="3123">
        <v>500</v>
      </c>
      <c r="K348" s="3124">
        <v>500</v>
      </c>
      <c r="L348" s="3125">
        <v>500</v>
      </c>
      <c r="M348" s="581"/>
      <c r="O348" s="603"/>
      <c r="P348" s="572"/>
      <c r="Q348" s="581"/>
    </row>
    <row r="349" spans="1:18" x14ac:dyDescent="0.2">
      <c r="A349" s="63">
        <v>637</v>
      </c>
      <c r="B349" s="85" t="s">
        <v>111</v>
      </c>
      <c r="C349" s="1111" t="s">
        <v>573</v>
      </c>
      <c r="D349" s="1641">
        <v>15116</v>
      </c>
      <c r="E349" s="2171">
        <v>8131</v>
      </c>
      <c r="F349" s="1641">
        <v>0</v>
      </c>
      <c r="G349" s="2887">
        <v>3000</v>
      </c>
      <c r="H349" s="2887">
        <v>3000</v>
      </c>
      <c r="I349" s="3123">
        <v>3000</v>
      </c>
      <c r="J349" s="3123">
        <v>3000</v>
      </c>
      <c r="K349" s="3124">
        <v>3000</v>
      </c>
      <c r="L349" s="3125">
        <v>5000</v>
      </c>
      <c r="M349" s="581"/>
      <c r="O349" s="603"/>
      <c r="P349" s="572"/>
      <c r="Q349" s="581"/>
    </row>
    <row r="350" spans="1:18" x14ac:dyDescent="0.2">
      <c r="A350" s="1864"/>
      <c r="B350" s="1865"/>
      <c r="C350" s="1866" t="s">
        <v>775</v>
      </c>
      <c r="D350" s="1869"/>
      <c r="E350" s="2262"/>
      <c r="F350" s="2263"/>
      <c r="G350" s="2894"/>
      <c r="H350" s="2894"/>
      <c r="I350" s="3123"/>
      <c r="J350" s="3123"/>
      <c r="K350" s="3130"/>
      <c r="L350" s="3135"/>
      <c r="M350" s="581"/>
      <c r="O350" s="603"/>
      <c r="P350" s="572"/>
      <c r="Q350" s="581"/>
    </row>
    <row r="351" spans="1:18" x14ac:dyDescent="0.2">
      <c r="A351" s="1864"/>
      <c r="B351" s="1865"/>
      <c r="C351" s="1866" t="s">
        <v>776</v>
      </c>
      <c r="D351" s="1869">
        <v>1500</v>
      </c>
      <c r="E351" s="2262"/>
      <c r="F351" s="2263">
        <v>0</v>
      </c>
      <c r="G351" s="2894">
        <v>1500</v>
      </c>
      <c r="H351" s="2894">
        <v>1500</v>
      </c>
      <c r="I351" s="3123">
        <v>0</v>
      </c>
      <c r="J351" s="3123">
        <v>0</v>
      </c>
      <c r="K351" s="3130">
        <v>1500</v>
      </c>
      <c r="L351" s="3135">
        <v>1500</v>
      </c>
      <c r="M351" s="581"/>
      <c r="O351" s="603"/>
      <c r="P351" s="572"/>
      <c r="Q351" s="581"/>
    </row>
    <row r="352" spans="1:18" ht="13.5" thickBot="1" x14ac:dyDescent="0.25">
      <c r="A352" s="1453">
        <v>642</v>
      </c>
      <c r="B352" s="1453" t="s">
        <v>102</v>
      </c>
      <c r="C352" s="1453" t="s">
        <v>574</v>
      </c>
      <c r="D352" s="1433">
        <v>1000</v>
      </c>
      <c r="E352" s="2169">
        <v>410</v>
      </c>
      <c r="F352" s="1433">
        <v>0</v>
      </c>
      <c r="G352" s="2895">
        <v>500</v>
      </c>
      <c r="H352" s="2895">
        <v>500</v>
      </c>
      <c r="I352" s="3123">
        <v>500</v>
      </c>
      <c r="J352" s="3123">
        <v>500</v>
      </c>
      <c r="K352" s="3131">
        <v>500</v>
      </c>
      <c r="L352" s="3136">
        <v>1000</v>
      </c>
      <c r="M352" s="89"/>
      <c r="O352" s="73"/>
      <c r="P352" s="65"/>
      <c r="Q352" s="73"/>
      <c r="R352" s="587"/>
    </row>
    <row r="353" spans="1:18" ht="13.5" hidden="1" thickBot="1" x14ac:dyDescent="0.25">
      <c r="A353" s="638"/>
      <c r="B353" s="53"/>
      <c r="C353" s="53"/>
      <c r="D353" s="58"/>
      <c r="E353" s="54"/>
      <c r="F353" s="1806"/>
      <c r="G353" s="54"/>
      <c r="H353" s="1444"/>
      <c r="I353" s="2504"/>
      <c r="J353" s="2357"/>
      <c r="K353" s="1377"/>
      <c r="L353" s="136"/>
      <c r="M353" s="89"/>
      <c r="O353" s="73"/>
      <c r="P353" s="65"/>
      <c r="Q353" s="73"/>
      <c r="R353" s="587"/>
    </row>
    <row r="354" spans="1:18" s="139" customFormat="1" ht="12" thickBot="1" x14ac:dyDescent="0.25">
      <c r="A354" s="2453" t="s">
        <v>575</v>
      </c>
      <c r="B354" s="2454"/>
      <c r="C354" s="2454"/>
      <c r="D354" s="2411">
        <f t="shared" ref="D354:L354" si="39">D355</f>
        <v>200</v>
      </c>
      <c r="E354" s="2442">
        <f t="shared" si="39"/>
        <v>2007</v>
      </c>
      <c r="F354" s="2442">
        <f t="shared" si="39"/>
        <v>2324</v>
      </c>
      <c r="G354" s="2442">
        <f t="shared" si="39"/>
        <v>650</v>
      </c>
      <c r="H354" s="2524">
        <f t="shared" si="39"/>
        <v>650</v>
      </c>
      <c r="I354" s="2412">
        <f t="shared" si="39"/>
        <v>650</v>
      </c>
      <c r="J354" s="2530">
        <f t="shared" si="39"/>
        <v>650</v>
      </c>
      <c r="K354" s="2418">
        <f t="shared" si="39"/>
        <v>650</v>
      </c>
      <c r="L354" s="2444">
        <f t="shared" si="39"/>
        <v>650</v>
      </c>
      <c r="M354" s="602"/>
      <c r="N354" s="594"/>
      <c r="O354" s="584"/>
      <c r="P354" s="584"/>
      <c r="Q354" s="584"/>
    </row>
    <row r="355" spans="1:18" x14ac:dyDescent="0.2">
      <c r="A355" s="2189">
        <v>630</v>
      </c>
      <c r="B355" s="2190"/>
      <c r="C355" s="2191" t="s">
        <v>363</v>
      </c>
      <c r="D355" s="1643">
        <f>SUM(D356,D357,D358,D360,D361)</f>
        <v>200</v>
      </c>
      <c r="E355" s="877">
        <f>SUM(E356,E357,E358,E360,E361)</f>
        <v>2007</v>
      </c>
      <c r="F355" s="1643">
        <f t="shared" ref="F355:L355" si="40">SUM(F356:F361)</f>
        <v>2324</v>
      </c>
      <c r="G355" s="2852">
        <f t="shared" si="40"/>
        <v>650</v>
      </c>
      <c r="H355" s="2852">
        <f t="shared" si="40"/>
        <v>650</v>
      </c>
      <c r="I355" s="3058">
        <f t="shared" si="40"/>
        <v>650</v>
      </c>
      <c r="J355" s="2358">
        <f t="shared" si="40"/>
        <v>650</v>
      </c>
      <c r="K355" s="2082">
        <f t="shared" si="40"/>
        <v>650</v>
      </c>
      <c r="L355" s="1376">
        <f t="shared" si="40"/>
        <v>650</v>
      </c>
      <c r="M355" s="73"/>
      <c r="O355" s="65"/>
      <c r="P355" s="65"/>
      <c r="Q355" s="65"/>
    </row>
    <row r="356" spans="1:18" x14ac:dyDescent="0.2">
      <c r="A356" s="35" t="s">
        <v>452</v>
      </c>
      <c r="B356" s="36"/>
      <c r="C356" s="883" t="s">
        <v>196</v>
      </c>
      <c r="D356" s="1641">
        <v>0</v>
      </c>
      <c r="E356" s="2171">
        <v>0</v>
      </c>
      <c r="F356" s="1641">
        <v>0</v>
      </c>
      <c r="G356" s="2887">
        <v>0</v>
      </c>
      <c r="H356" s="2887">
        <v>0</v>
      </c>
      <c r="I356" s="3052">
        <v>0</v>
      </c>
      <c r="J356" s="2322">
        <v>0</v>
      </c>
      <c r="K356" s="2062">
        <v>0</v>
      </c>
      <c r="L356" s="1360">
        <v>0</v>
      </c>
      <c r="M356" s="581"/>
      <c r="O356" s="603"/>
      <c r="P356" s="572"/>
      <c r="Q356" s="603"/>
    </row>
    <row r="357" spans="1:18" x14ac:dyDescent="0.2">
      <c r="A357" s="35">
        <v>632</v>
      </c>
      <c r="B357" s="36"/>
      <c r="C357" s="883" t="s">
        <v>453</v>
      </c>
      <c r="D357" s="1641">
        <v>200</v>
      </c>
      <c r="E357" s="2171">
        <v>150</v>
      </c>
      <c r="F357" s="1641">
        <v>242</v>
      </c>
      <c r="G357" s="2887">
        <v>0</v>
      </c>
      <c r="H357" s="2887">
        <v>0</v>
      </c>
      <c r="I357" s="3052">
        <v>0</v>
      </c>
      <c r="J357" s="2322">
        <v>0</v>
      </c>
      <c r="K357" s="2062">
        <v>0</v>
      </c>
      <c r="L357" s="1360">
        <v>0</v>
      </c>
      <c r="M357" s="581"/>
      <c r="O357" s="603"/>
      <c r="P357" s="572"/>
      <c r="Q357" s="603"/>
    </row>
    <row r="358" spans="1:18" x14ac:dyDescent="0.2">
      <c r="A358" s="42">
        <v>633</v>
      </c>
      <c r="B358" s="43"/>
      <c r="C358" s="1096" t="s">
        <v>576</v>
      </c>
      <c r="D358" s="1641">
        <v>0</v>
      </c>
      <c r="E358" s="2171">
        <v>1857</v>
      </c>
      <c r="F358" s="1641">
        <v>2082</v>
      </c>
      <c r="G358" s="2887">
        <v>500</v>
      </c>
      <c r="H358" s="2887">
        <v>500</v>
      </c>
      <c r="I358" s="3052">
        <v>500</v>
      </c>
      <c r="J358" s="2322">
        <v>500</v>
      </c>
      <c r="K358" s="2062">
        <v>500</v>
      </c>
      <c r="L358" s="1360">
        <v>500</v>
      </c>
      <c r="M358" s="581"/>
      <c r="O358" s="603"/>
      <c r="P358" s="572"/>
      <c r="Q358" s="603"/>
    </row>
    <row r="359" spans="1:18" x14ac:dyDescent="0.2">
      <c r="A359" s="1066"/>
      <c r="B359" s="1067"/>
      <c r="C359" s="1920" t="s">
        <v>777</v>
      </c>
      <c r="D359" s="1869"/>
      <c r="E359" s="2262"/>
      <c r="F359" s="2263"/>
      <c r="G359" s="2888"/>
      <c r="H359" s="2888"/>
      <c r="I359" s="3075"/>
      <c r="J359" s="2322"/>
      <c r="K359" s="2064"/>
      <c r="L359" s="1921"/>
      <c r="M359" s="581"/>
      <c r="O359" s="603"/>
      <c r="P359" s="572"/>
      <c r="Q359" s="603"/>
    </row>
    <row r="360" spans="1:18" x14ac:dyDescent="0.2">
      <c r="A360" s="1992">
        <v>635</v>
      </c>
      <c r="B360" s="1993"/>
      <c r="C360" s="1994" t="s">
        <v>294</v>
      </c>
      <c r="D360" s="2083">
        <v>0</v>
      </c>
      <c r="E360" s="2264">
        <v>0</v>
      </c>
      <c r="F360" s="1641">
        <v>0</v>
      </c>
      <c r="G360" s="2889">
        <v>150</v>
      </c>
      <c r="H360" s="2889">
        <v>150</v>
      </c>
      <c r="I360" s="3076">
        <v>150</v>
      </c>
      <c r="J360" s="2322">
        <v>150</v>
      </c>
      <c r="K360" s="2063">
        <v>150</v>
      </c>
      <c r="L360" s="2084">
        <v>150</v>
      </c>
      <c r="M360" s="581"/>
      <c r="O360" s="603"/>
      <c r="P360" s="572"/>
      <c r="Q360" s="603"/>
    </row>
    <row r="361" spans="1:18" ht="13.5" thickBot="1" x14ac:dyDescent="0.25">
      <c r="A361" s="1453">
        <v>637</v>
      </c>
      <c r="B361" s="1453"/>
      <c r="C361" s="1453" t="s">
        <v>208</v>
      </c>
      <c r="D361" s="1641">
        <v>0</v>
      </c>
      <c r="E361" s="2171">
        <v>0</v>
      </c>
      <c r="F361" s="1641">
        <v>0</v>
      </c>
      <c r="G361" s="2890">
        <v>0</v>
      </c>
      <c r="H361" s="2890">
        <v>0</v>
      </c>
      <c r="I361" s="3077">
        <v>0</v>
      </c>
      <c r="J361" s="2322">
        <v>0</v>
      </c>
      <c r="K361" s="2070">
        <v>0</v>
      </c>
      <c r="L361" s="1441">
        <v>0</v>
      </c>
      <c r="M361" s="581"/>
      <c r="O361" s="603"/>
      <c r="P361" s="572"/>
      <c r="Q361" s="603"/>
    </row>
    <row r="362" spans="1:18" ht="13.5" hidden="1" thickBot="1" x14ac:dyDescent="0.25">
      <c r="A362" s="638"/>
      <c r="B362" s="53"/>
      <c r="C362" s="53"/>
      <c r="D362" s="58"/>
      <c r="E362" s="54"/>
      <c r="F362" s="1806"/>
      <c r="G362" s="54"/>
      <c r="H362" s="1445"/>
      <c r="I362" s="1445"/>
      <c r="J362" s="2322"/>
      <c r="K362" s="54"/>
      <c r="L362" s="54"/>
      <c r="M362" s="581"/>
      <c r="O362" s="603"/>
      <c r="P362" s="572"/>
      <c r="Q362" s="603"/>
    </row>
    <row r="363" spans="1:18" ht="13.5" hidden="1" thickBot="1" x14ac:dyDescent="0.25">
      <c r="A363" s="53"/>
      <c r="B363" s="53"/>
      <c r="C363" s="53"/>
      <c r="D363" s="58"/>
      <c r="E363" s="54"/>
      <c r="F363" s="1806"/>
      <c r="G363" s="54"/>
      <c r="H363" s="1445"/>
      <c r="I363" s="1445"/>
      <c r="J363" s="2322"/>
      <c r="K363" s="54"/>
      <c r="L363" s="54"/>
      <c r="M363" s="581"/>
      <c r="O363" s="603"/>
      <c r="P363" s="572"/>
      <c r="Q363" s="603"/>
    </row>
    <row r="364" spans="1:18" ht="13.5" hidden="1" thickBot="1" x14ac:dyDescent="0.25">
      <c r="A364" s="53"/>
      <c r="B364" s="53"/>
      <c r="C364" s="53"/>
      <c r="D364" s="58"/>
      <c r="E364" s="54"/>
      <c r="F364" s="1806"/>
      <c r="G364" s="54"/>
      <c r="H364" s="1445"/>
      <c r="I364" s="1445"/>
      <c r="J364" s="2357"/>
      <c r="K364" s="54"/>
      <c r="L364" s="54"/>
      <c r="M364" s="581"/>
      <c r="O364" s="603"/>
      <c r="P364" s="572"/>
      <c r="Q364" s="603"/>
    </row>
    <row r="365" spans="1:18" s="139" customFormat="1" ht="12" thickBot="1" x14ac:dyDescent="0.25">
      <c r="A365" s="2453" t="s">
        <v>577</v>
      </c>
      <c r="B365" s="2454"/>
      <c r="C365" s="2454"/>
      <c r="D365" s="2411">
        <f>D367</f>
        <v>1478</v>
      </c>
      <c r="E365" s="2442">
        <f t="shared" ref="E365:L365" si="41">SUM(E366)</f>
        <v>812</v>
      </c>
      <c r="F365" s="2442">
        <f t="shared" si="41"/>
        <v>881</v>
      </c>
      <c r="G365" s="2442">
        <f t="shared" si="41"/>
        <v>1000</v>
      </c>
      <c r="H365" s="2524">
        <f t="shared" si="41"/>
        <v>1000</v>
      </c>
      <c r="I365" s="2412">
        <f t="shared" si="41"/>
        <v>1000</v>
      </c>
      <c r="J365" s="2529">
        <f t="shared" si="41"/>
        <v>1000</v>
      </c>
      <c r="K365" s="2418">
        <f t="shared" si="41"/>
        <v>1000</v>
      </c>
      <c r="L365" s="2444">
        <f t="shared" si="41"/>
        <v>1000</v>
      </c>
      <c r="M365" s="602"/>
      <c r="N365" s="584"/>
      <c r="O365" s="584"/>
      <c r="P365" s="584"/>
      <c r="Q365" s="584"/>
    </row>
    <row r="366" spans="1:18" x14ac:dyDescent="0.2">
      <c r="A366" s="2522">
        <v>637</v>
      </c>
      <c r="B366" s="2522"/>
      <c r="C366" s="2523" t="s">
        <v>208</v>
      </c>
      <c r="D366" s="2515">
        <f t="shared" ref="D366:L366" si="42">D367</f>
        <v>1478</v>
      </c>
      <c r="E366" s="2515">
        <f t="shared" si="42"/>
        <v>812</v>
      </c>
      <c r="F366" s="2516">
        <v>881</v>
      </c>
      <c r="G366" s="2515">
        <f t="shared" si="42"/>
        <v>1000</v>
      </c>
      <c r="H366" s="2981">
        <f t="shared" si="42"/>
        <v>1000</v>
      </c>
      <c r="I366" s="3078">
        <f t="shared" si="42"/>
        <v>1000</v>
      </c>
      <c r="J366" s="2358">
        <f t="shared" si="42"/>
        <v>1000</v>
      </c>
      <c r="K366" s="2082">
        <f t="shared" si="42"/>
        <v>1000</v>
      </c>
      <c r="L366" s="2387">
        <f t="shared" si="42"/>
        <v>1000</v>
      </c>
      <c r="M366" s="73"/>
      <c r="O366" s="65"/>
      <c r="P366" s="65"/>
      <c r="Q366" s="65"/>
    </row>
    <row r="367" spans="1:18" ht="13.5" thickBot="1" x14ac:dyDescent="0.25">
      <c r="A367" s="2505">
        <v>637</v>
      </c>
      <c r="B367" s="2505" t="s">
        <v>120</v>
      </c>
      <c r="C367" s="2506" t="s">
        <v>578</v>
      </c>
      <c r="D367" s="2511">
        <v>1478</v>
      </c>
      <c r="E367" s="2511">
        <v>812</v>
      </c>
      <c r="F367" s="2512">
        <v>881</v>
      </c>
      <c r="G367" s="2511">
        <v>1000</v>
      </c>
      <c r="H367" s="2983">
        <v>1000</v>
      </c>
      <c r="I367" s="3079">
        <v>1000</v>
      </c>
      <c r="J367" s="2357">
        <v>1000</v>
      </c>
      <c r="K367" s="2073">
        <v>1000</v>
      </c>
      <c r="L367" s="1437">
        <v>1000</v>
      </c>
      <c r="M367" s="581"/>
      <c r="O367" s="603"/>
      <c r="P367" s="572"/>
      <c r="Q367" s="603"/>
    </row>
    <row r="368" spans="1:18" ht="13.5" thickBot="1" x14ac:dyDescent="0.25">
      <c r="A368" s="2453" t="s">
        <v>831</v>
      </c>
      <c r="B368" s="2454"/>
      <c r="C368" s="2454"/>
      <c r="D368" s="2411">
        <f>D370</f>
        <v>0</v>
      </c>
      <c r="E368" s="2442">
        <f>E369+E370</f>
        <v>1770</v>
      </c>
      <c r="F368" s="2442">
        <f t="shared" ref="F368:L368" si="43">SUM(F369)+F370</f>
        <v>7100</v>
      </c>
      <c r="G368" s="2442">
        <f t="shared" si="43"/>
        <v>7500</v>
      </c>
      <c r="H368" s="2414">
        <f t="shared" si="43"/>
        <v>7500</v>
      </c>
      <c r="I368" s="2412">
        <f t="shared" si="43"/>
        <v>10000</v>
      </c>
      <c r="J368" s="2529">
        <f t="shared" si="43"/>
        <v>10000</v>
      </c>
      <c r="K368" s="2418">
        <f t="shared" si="43"/>
        <v>10000</v>
      </c>
      <c r="L368" s="2444">
        <f t="shared" si="43"/>
        <v>10000</v>
      </c>
      <c r="M368" s="581"/>
      <c r="O368" s="603"/>
      <c r="P368" s="572"/>
      <c r="Q368" s="603"/>
    </row>
    <row r="369" spans="1:18" x14ac:dyDescent="0.2">
      <c r="A369" s="2518">
        <v>635</v>
      </c>
      <c r="B369" s="2518"/>
      <c r="C369" s="2519" t="s">
        <v>279</v>
      </c>
      <c r="D369" s="2520"/>
      <c r="E369" s="2515">
        <v>1260</v>
      </c>
      <c r="F369" s="2516">
        <v>330</v>
      </c>
      <c r="G369" s="2515">
        <v>0</v>
      </c>
      <c r="H369" s="2981">
        <v>0</v>
      </c>
      <c r="I369" s="3078">
        <v>0</v>
      </c>
      <c r="J369" s="2358">
        <v>0</v>
      </c>
      <c r="K369" s="2082">
        <v>0</v>
      </c>
      <c r="L369" s="2387">
        <v>0</v>
      </c>
      <c r="M369" s="581"/>
      <c r="O369" s="603"/>
      <c r="P369" s="572"/>
      <c r="Q369" s="603"/>
    </row>
    <row r="370" spans="1:18" ht="13.5" thickBot="1" x14ac:dyDescent="0.25">
      <c r="A370" s="2505">
        <v>637</v>
      </c>
      <c r="B370" s="2505" t="s">
        <v>111</v>
      </c>
      <c r="C370" s="2506" t="s">
        <v>832</v>
      </c>
      <c r="D370" s="2220"/>
      <c r="E370" s="2507">
        <v>510</v>
      </c>
      <c r="F370" s="3435">
        <v>6770</v>
      </c>
      <c r="G370" s="2507">
        <v>7500</v>
      </c>
      <c r="H370" s="2925">
        <v>7500</v>
      </c>
      <c r="I370" s="3436">
        <v>10000</v>
      </c>
      <c r="J370" s="2357">
        <v>10000</v>
      </c>
      <c r="K370" s="3130">
        <v>10000</v>
      </c>
      <c r="L370" s="3121">
        <v>10000</v>
      </c>
      <c r="M370" s="581"/>
      <c r="O370" s="603"/>
      <c r="P370" s="572"/>
      <c r="Q370" s="603"/>
    </row>
    <row r="371" spans="1:18" s="139" customFormat="1" ht="12" thickBot="1" x14ac:dyDescent="0.25">
      <c r="A371" s="2453" t="s">
        <v>579</v>
      </c>
      <c r="B371" s="2454"/>
      <c r="C371" s="2454"/>
      <c r="D371" s="2411">
        <f>SUM(D372:D374)</f>
        <v>18828</v>
      </c>
      <c r="E371" s="2442">
        <f t="shared" ref="E371:J371" si="44">SUM(E372,E373)+E374</f>
        <v>16366</v>
      </c>
      <c r="F371" s="2442">
        <f t="shared" si="44"/>
        <v>1464</v>
      </c>
      <c r="G371" s="2442">
        <f t="shared" si="44"/>
        <v>3000</v>
      </c>
      <c r="H371" s="2414">
        <f t="shared" si="44"/>
        <v>3000</v>
      </c>
      <c r="I371" s="2412">
        <f t="shared" si="44"/>
        <v>3000</v>
      </c>
      <c r="J371" s="2371">
        <f t="shared" si="44"/>
        <v>3000</v>
      </c>
      <c r="K371" s="2418">
        <f>SUM(K372,K373,K374)</f>
        <v>3000</v>
      </c>
      <c r="L371" s="2444">
        <f>SUM(L372,L373,L374)</f>
        <v>3000</v>
      </c>
      <c r="M371" s="602"/>
      <c r="N371" s="584"/>
      <c r="O371" s="530"/>
      <c r="P371" s="530"/>
      <c r="Q371" s="530"/>
    </row>
    <row r="372" spans="1:18" s="20" customFormat="1" x14ac:dyDescent="0.2">
      <c r="A372" s="2513">
        <v>630</v>
      </c>
      <c r="B372" s="2514"/>
      <c r="C372" s="2514" t="s">
        <v>580</v>
      </c>
      <c r="D372" s="2515">
        <v>1687</v>
      </c>
      <c r="E372" s="2515">
        <v>775</v>
      </c>
      <c r="F372" s="2516">
        <v>964</v>
      </c>
      <c r="G372" s="2515">
        <v>2000</v>
      </c>
      <c r="H372" s="2981">
        <v>2000</v>
      </c>
      <c r="I372" s="3078">
        <v>2000</v>
      </c>
      <c r="J372" s="2358">
        <v>2000</v>
      </c>
      <c r="K372" s="2082">
        <v>2000</v>
      </c>
      <c r="L372" s="2387">
        <v>2000</v>
      </c>
      <c r="M372" s="89"/>
      <c r="N372" s="60"/>
      <c r="O372" s="73"/>
      <c r="P372" s="65"/>
      <c r="Q372" s="65"/>
      <c r="R372" s="16"/>
    </row>
    <row r="373" spans="1:18" s="34" customFormat="1" x14ac:dyDescent="0.2">
      <c r="A373" s="1647">
        <v>642</v>
      </c>
      <c r="B373" s="1647"/>
      <c r="C373" s="1548" t="s">
        <v>379</v>
      </c>
      <c r="D373" s="1418">
        <v>1200</v>
      </c>
      <c r="E373" s="1418">
        <v>450</v>
      </c>
      <c r="F373" s="2165">
        <v>450</v>
      </c>
      <c r="G373" s="1418">
        <v>1000</v>
      </c>
      <c r="H373" s="2914">
        <v>1000</v>
      </c>
      <c r="I373" s="3063">
        <v>1000</v>
      </c>
      <c r="J373" s="2322">
        <v>1000</v>
      </c>
      <c r="K373" s="2062">
        <v>1000</v>
      </c>
      <c r="L373" s="1424">
        <v>1000</v>
      </c>
      <c r="M373" s="73"/>
      <c r="N373" s="20"/>
      <c r="O373" s="65"/>
      <c r="P373" s="65"/>
      <c r="Q373" s="65"/>
      <c r="R373" s="16"/>
    </row>
    <row r="374" spans="1:18" s="34" customFormat="1" ht="13.5" thickBot="1" x14ac:dyDescent="0.25">
      <c r="A374" s="2505">
        <v>642</v>
      </c>
      <c r="B374" s="2505" t="s">
        <v>97</v>
      </c>
      <c r="C374" s="2506" t="s">
        <v>590</v>
      </c>
      <c r="D374" s="2507">
        <v>15941</v>
      </c>
      <c r="E374" s="2507">
        <v>15141</v>
      </c>
      <c r="F374" s="2508">
        <v>50</v>
      </c>
      <c r="G374" s="2507">
        <v>0</v>
      </c>
      <c r="H374" s="2915">
        <v>0</v>
      </c>
      <c r="I374" s="3064">
        <v>0</v>
      </c>
      <c r="J374" s="2357">
        <v>0</v>
      </c>
      <c r="K374" s="2056">
        <v>0</v>
      </c>
      <c r="L374" s="2509">
        <v>0</v>
      </c>
      <c r="M374" s="581"/>
      <c r="N374" s="20"/>
      <c r="O374" s="603"/>
      <c r="P374" s="65"/>
      <c r="Q374" s="65"/>
      <c r="R374" s="16"/>
    </row>
    <row r="375" spans="1:18" ht="13.5" thickBot="1" x14ac:dyDescent="0.25">
      <c r="A375" s="2396" t="s">
        <v>581</v>
      </c>
      <c r="B375" s="2397"/>
      <c r="C375" s="2398" t="s">
        <v>582</v>
      </c>
      <c r="D375" s="2420">
        <f>D317+D330+D354+D365+D371</f>
        <v>115952</v>
      </c>
      <c r="E375" s="2421">
        <f>SUM(E317,E330,E354,E365,E371)+E368</f>
        <v>107503</v>
      </c>
      <c r="F375" s="2423">
        <f>F317+F330+F354+F365+F371+F368</f>
        <v>83404</v>
      </c>
      <c r="G375" s="2401">
        <f t="shared" ref="G375:L375" si="45">SUM(G317,G330,G354,G365,G371)+G368</f>
        <v>89750</v>
      </c>
      <c r="H375" s="2402">
        <f t="shared" si="45"/>
        <v>89750</v>
      </c>
      <c r="I375" s="2403">
        <f t="shared" si="45"/>
        <v>87750</v>
      </c>
      <c r="J375" s="2510">
        <f t="shared" si="45"/>
        <v>99500</v>
      </c>
      <c r="K375" s="2404">
        <f t="shared" si="45"/>
        <v>105260</v>
      </c>
      <c r="L375" s="2405">
        <f t="shared" si="45"/>
        <v>109260</v>
      </c>
      <c r="M375" s="90"/>
      <c r="N375" s="584"/>
      <c r="O375" s="530"/>
      <c r="P375" s="530"/>
      <c r="Q375" s="530"/>
      <c r="R375" s="604"/>
    </row>
    <row r="376" spans="1:18" hidden="1" x14ac:dyDescent="0.2">
      <c r="A376" s="598"/>
      <c r="B376" s="65"/>
      <c r="C376" s="134"/>
      <c r="D376" s="134"/>
      <c r="E376" s="134"/>
      <c r="F376" s="134"/>
      <c r="G376" s="599"/>
      <c r="H376" s="599"/>
      <c r="I376" s="599"/>
      <c r="J376" s="2312"/>
      <c r="K376" s="599"/>
      <c r="L376" s="600"/>
    </row>
    <row r="377" spans="1:18" hidden="1" x14ac:dyDescent="0.2">
      <c r="A377" s="598"/>
      <c r="B377" s="65"/>
      <c r="C377" s="134"/>
      <c r="D377" s="134"/>
      <c r="E377" s="134"/>
      <c r="F377" s="134"/>
      <c r="G377" s="599"/>
      <c r="H377" s="599"/>
      <c r="I377" s="599"/>
      <c r="J377" s="2312"/>
      <c r="K377" s="599"/>
      <c r="L377" s="600"/>
    </row>
    <row r="378" spans="1:18" hidden="1" x14ac:dyDescent="0.2">
      <c r="A378" s="598"/>
      <c r="B378" s="65"/>
      <c r="C378" s="134"/>
      <c r="D378" s="134"/>
      <c r="E378" s="134"/>
      <c r="F378" s="134"/>
      <c r="G378" s="599"/>
      <c r="H378" s="599"/>
      <c r="I378" s="599"/>
      <c r="J378" s="2312"/>
      <c r="K378" s="599"/>
      <c r="L378" s="600"/>
    </row>
    <row r="379" spans="1:18" x14ac:dyDescent="0.2">
      <c r="A379" s="598"/>
      <c r="B379" s="65"/>
      <c r="C379" s="134"/>
      <c r="D379" s="134"/>
      <c r="E379" s="134"/>
      <c r="F379" s="134"/>
      <c r="G379" s="599"/>
      <c r="H379" s="599"/>
      <c r="I379" s="599"/>
      <c r="J379" s="2071"/>
      <c r="K379" s="599"/>
      <c r="L379" s="600"/>
    </row>
    <row r="380" spans="1:18" ht="13.5" thickBot="1" x14ac:dyDescent="0.25">
      <c r="A380" s="598"/>
      <c r="B380" s="65"/>
      <c r="C380" s="134"/>
      <c r="D380" s="134"/>
      <c r="E380" s="134"/>
      <c r="F380" s="134"/>
      <c r="G380" s="599"/>
      <c r="H380" s="3795" t="s">
        <v>583</v>
      </c>
      <c r="I380" s="3795"/>
      <c r="J380" s="3795"/>
      <c r="K380" s="3795"/>
      <c r="L380" s="3795"/>
      <c r="M380" s="129"/>
      <c r="N380" s="129"/>
      <c r="O380" s="129"/>
      <c r="P380" s="129"/>
      <c r="Q380" s="129"/>
    </row>
    <row r="381" spans="1:18" s="592" customFormat="1" ht="23.25" thickBot="1" x14ac:dyDescent="0.25">
      <c r="A381" s="713" t="s">
        <v>433</v>
      </c>
      <c r="B381" s="714"/>
      <c r="C381" s="730"/>
      <c r="D381" s="524">
        <v>2018</v>
      </c>
      <c r="E381" s="3174" t="s">
        <v>825</v>
      </c>
      <c r="F381" s="3175" t="s">
        <v>958</v>
      </c>
      <c r="G381" s="1408">
        <v>2021</v>
      </c>
      <c r="H381" s="2343" t="s">
        <v>873</v>
      </c>
      <c r="I381" s="2343" t="s">
        <v>929</v>
      </c>
      <c r="J381" s="3113">
        <v>2022</v>
      </c>
      <c r="K381" s="2344">
        <v>2023</v>
      </c>
      <c r="L381" s="2345">
        <v>2024</v>
      </c>
      <c r="M381" s="589"/>
      <c r="N381" s="590"/>
      <c r="O381" s="591"/>
      <c r="P381" s="526"/>
      <c r="Q381" s="527"/>
    </row>
    <row r="382" spans="1:18" s="139" customFormat="1" ht="12" thickBot="1" x14ac:dyDescent="0.25">
      <c r="A382" s="2499" t="s">
        <v>584</v>
      </c>
      <c r="B382" s="2500"/>
      <c r="C382" s="2500"/>
      <c r="D382" s="1644">
        <f t="shared" ref="D382:L382" si="46">D383+D418</f>
        <v>223646</v>
      </c>
      <c r="E382" s="1416">
        <f>E383+E418</f>
        <v>227204.12</v>
      </c>
      <c r="F382" s="1448">
        <f t="shared" si="46"/>
        <v>251406.79</v>
      </c>
      <c r="G382" s="1416">
        <f t="shared" si="46"/>
        <v>242050</v>
      </c>
      <c r="H382" s="1667">
        <f>H383+H418</f>
        <v>242050</v>
      </c>
      <c r="I382" s="1667">
        <f>I383+I418+I417</f>
        <v>289569</v>
      </c>
      <c r="J382" s="2503">
        <f>J383+J418+J417</f>
        <v>272510</v>
      </c>
      <c r="K382" s="1417">
        <f t="shared" si="46"/>
        <v>342300</v>
      </c>
      <c r="L382" s="1668">
        <f t="shared" si="46"/>
        <v>400130</v>
      </c>
      <c r="M382" s="602"/>
      <c r="N382" s="584"/>
      <c r="O382" s="530"/>
      <c r="P382" s="530"/>
      <c r="Q382" s="530"/>
    </row>
    <row r="383" spans="1:18" s="139" customFormat="1" ht="12" thickBot="1" x14ac:dyDescent="0.25">
      <c r="A383" s="3786" t="s">
        <v>164</v>
      </c>
      <c r="B383" s="3787"/>
      <c r="C383" s="3788"/>
      <c r="D383" s="2466">
        <f>D384+D386+D388</f>
        <v>200646</v>
      </c>
      <c r="E383" s="2502">
        <f>E384+E386+E388+E417</f>
        <v>227204.12</v>
      </c>
      <c r="F383" s="2468">
        <f>F384+F386+F388</f>
        <v>251406.79</v>
      </c>
      <c r="G383" s="2502">
        <f>G384+G386+G388+G385+G387</f>
        <v>202940</v>
      </c>
      <c r="H383" s="2469">
        <f>H384+H386+H388</f>
        <v>202940</v>
      </c>
      <c r="I383" s="2470">
        <f>I384+I386+I388+I385</f>
        <v>244717</v>
      </c>
      <c r="J383" s="2471">
        <f>J384+J386+J388+J385</f>
        <v>229500</v>
      </c>
      <c r="K383" s="2472">
        <f>K384+K386+K388+K417</f>
        <v>281100</v>
      </c>
      <c r="L383" s="2473">
        <f>L384+L386+L388+L417</f>
        <v>333900</v>
      </c>
      <c r="M383" s="602"/>
      <c r="N383" s="584"/>
      <c r="O383" s="530"/>
      <c r="P383" s="530"/>
      <c r="Q383" s="530"/>
    </row>
    <row r="384" spans="1:18" x14ac:dyDescent="0.2">
      <c r="A384" s="2485"/>
      <c r="B384" s="2486">
        <v>610</v>
      </c>
      <c r="C384" s="2487" t="s">
        <v>449</v>
      </c>
      <c r="D384" s="2501">
        <v>120000</v>
      </c>
      <c r="E384" s="2265">
        <v>97524.2</v>
      </c>
      <c r="F384" s="2501">
        <v>133323.16</v>
      </c>
      <c r="G384" s="2884">
        <v>122500</v>
      </c>
      <c r="H384" s="2884">
        <v>122500</v>
      </c>
      <c r="I384" s="3080">
        <v>122500</v>
      </c>
      <c r="J384" s="2461">
        <v>122500</v>
      </c>
      <c r="K384" s="2085">
        <v>172000</v>
      </c>
      <c r="L384" s="3204">
        <v>208000</v>
      </c>
      <c r="M384" s="89"/>
      <c r="N384" s="60"/>
      <c r="O384" s="73"/>
      <c r="P384" s="65"/>
      <c r="Q384" s="73"/>
    </row>
    <row r="385" spans="1:18" x14ac:dyDescent="0.2">
      <c r="A385" s="1669"/>
      <c r="B385" s="1652">
        <v>610</v>
      </c>
      <c r="C385" s="1653" t="s">
        <v>859</v>
      </c>
      <c r="D385" s="1656"/>
      <c r="E385" s="2265"/>
      <c r="F385" s="1656"/>
      <c r="G385" s="2884"/>
      <c r="H385" s="2884"/>
      <c r="I385" s="3147">
        <v>26598</v>
      </c>
      <c r="J385" s="2446">
        <v>26600</v>
      </c>
      <c r="K385" s="2085">
        <v>19200</v>
      </c>
      <c r="L385" s="3204"/>
      <c r="M385" s="89"/>
      <c r="N385" s="60"/>
      <c r="O385" s="73"/>
      <c r="P385" s="65"/>
      <c r="Q385" s="73"/>
    </row>
    <row r="386" spans="1:18" x14ac:dyDescent="0.2">
      <c r="A386" s="1670"/>
      <c r="B386" s="1652">
        <v>620</v>
      </c>
      <c r="C386" s="1654" t="s">
        <v>194</v>
      </c>
      <c r="D386" s="1656">
        <v>42000</v>
      </c>
      <c r="E386" s="2266">
        <v>69839.58</v>
      </c>
      <c r="F386" s="1656">
        <v>74505.039999999994</v>
      </c>
      <c r="G386" s="2885">
        <v>42800</v>
      </c>
      <c r="H386" s="2885">
        <v>42800</v>
      </c>
      <c r="I386" s="3081">
        <v>42800</v>
      </c>
      <c r="J386" s="2446">
        <v>42800</v>
      </c>
      <c r="K386" s="2086">
        <v>60200</v>
      </c>
      <c r="L386" s="3238">
        <v>72700</v>
      </c>
      <c r="M386" s="89"/>
      <c r="N386" s="60"/>
      <c r="O386" s="73"/>
      <c r="P386" s="65"/>
      <c r="Q386" s="73"/>
    </row>
    <row r="387" spans="1:18" x14ac:dyDescent="0.2">
      <c r="A387" s="3805">
        <v>610.62</v>
      </c>
      <c r="B387" s="3806"/>
      <c r="C387" s="2152" t="s">
        <v>860</v>
      </c>
      <c r="D387" s="2208"/>
      <c r="E387" s="2267"/>
      <c r="F387" s="2208"/>
      <c r="G387" s="2886"/>
      <c r="H387" s="2886"/>
      <c r="I387" s="3082"/>
      <c r="J387" s="2322"/>
      <c r="K387" s="2151"/>
      <c r="L387" s="3245"/>
      <c r="M387" s="89"/>
      <c r="N387" s="60"/>
      <c r="O387" s="73"/>
      <c r="P387" s="65"/>
      <c r="Q387" s="73"/>
    </row>
    <row r="388" spans="1:18" s="34" customFormat="1" x14ac:dyDescent="0.2">
      <c r="A388" s="1671"/>
      <c r="B388" s="1659" t="s">
        <v>586</v>
      </c>
      <c r="C388" s="1660" t="s">
        <v>363</v>
      </c>
      <c r="D388" s="1655">
        <f>D389+D390+D400+D404+D412</f>
        <v>38646</v>
      </c>
      <c r="E388" s="2266">
        <v>59840.34</v>
      </c>
      <c r="F388" s="1656">
        <v>43578.59</v>
      </c>
      <c r="G388" s="1913">
        <f>G389+G390+G400+G404+G412+G417</f>
        <v>37640</v>
      </c>
      <c r="H388" s="2885">
        <f t="shared" ref="H388" si="47">H389+H390+H400+H404+H412+H417</f>
        <v>37640</v>
      </c>
      <c r="I388" s="3081">
        <f>I389+I390+I400+I404+I412+I417</f>
        <v>52819</v>
      </c>
      <c r="J388" s="2446">
        <f>J389+J390+J400+J404+J412+J417</f>
        <v>37600</v>
      </c>
      <c r="K388" s="2086">
        <v>48900</v>
      </c>
      <c r="L388" s="3238">
        <v>53200</v>
      </c>
      <c r="M388" s="89"/>
      <c r="N388" s="60"/>
      <c r="O388" s="73"/>
      <c r="P388" s="65"/>
      <c r="Q388" s="73"/>
      <c r="R388" s="62"/>
    </row>
    <row r="389" spans="1:18" s="34" customFormat="1" x14ac:dyDescent="0.2">
      <c r="A389" s="1672">
        <v>632</v>
      </c>
      <c r="B389" s="1649"/>
      <c r="C389" s="2192" t="s">
        <v>453</v>
      </c>
      <c r="D389" s="2097">
        <v>15600</v>
      </c>
      <c r="E389" s="1876">
        <v>0</v>
      </c>
      <c r="F389" s="1873">
        <v>0</v>
      </c>
      <c r="G389" s="1872">
        <v>12000</v>
      </c>
      <c r="H389" s="2984">
        <v>12000</v>
      </c>
      <c r="I389" s="3083">
        <v>15000</v>
      </c>
      <c r="J389" s="2446">
        <v>12000</v>
      </c>
      <c r="K389" s="2086">
        <v>15000</v>
      </c>
      <c r="L389" s="3238">
        <v>16500</v>
      </c>
      <c r="M389" s="89"/>
      <c r="N389" s="60"/>
      <c r="O389" s="73"/>
      <c r="P389" s="65"/>
      <c r="Q389" s="73"/>
      <c r="R389" s="62"/>
    </row>
    <row r="390" spans="1:18" s="34" customFormat="1" x14ac:dyDescent="0.2">
      <c r="A390" s="1673">
        <v>633</v>
      </c>
      <c r="B390" s="1650"/>
      <c r="C390" s="1698" t="s">
        <v>455</v>
      </c>
      <c r="D390" s="2097">
        <f>SUM(D391:D399)</f>
        <v>5500</v>
      </c>
      <c r="E390" s="1876">
        <v>0</v>
      </c>
      <c r="F390" s="1873">
        <f>SUM(F391:F399)</f>
        <v>0</v>
      </c>
      <c r="G390" s="1872">
        <f>SUM(G391:G398)+G399</f>
        <v>10250</v>
      </c>
      <c r="H390" s="2984">
        <f>SUM(H391:H399)</f>
        <v>10250</v>
      </c>
      <c r="I390" s="3083">
        <f>SUM(I391:I399)</f>
        <v>10250</v>
      </c>
      <c r="J390" s="2446">
        <f>SUM(J391:J399)</f>
        <v>10250</v>
      </c>
      <c r="K390" s="2086">
        <f>SUM(K391:K399)</f>
        <v>20750</v>
      </c>
      <c r="L390" s="3238">
        <f>SUM(L391:L399)</f>
        <v>19400</v>
      </c>
      <c r="M390" s="89"/>
      <c r="N390" s="60"/>
      <c r="O390" s="73"/>
      <c r="P390" s="65"/>
      <c r="Q390" s="73"/>
      <c r="R390" s="62"/>
    </row>
    <row r="391" spans="1:18" s="34" customFormat="1" x14ac:dyDescent="0.2">
      <c r="A391" s="1645">
        <v>633</v>
      </c>
      <c r="B391" s="556" t="s">
        <v>94</v>
      </c>
      <c r="C391" s="1136" t="s">
        <v>456</v>
      </c>
      <c r="D391" s="1641">
        <v>0</v>
      </c>
      <c r="E391" s="1683"/>
      <c r="F391" s="1641"/>
      <c r="G391" s="2864">
        <v>2000</v>
      </c>
      <c r="H391" s="2864">
        <v>2000</v>
      </c>
      <c r="I391" s="3146">
        <v>2000</v>
      </c>
      <c r="J391" s="3123">
        <v>2000</v>
      </c>
      <c r="K391" s="3124">
        <v>10000</v>
      </c>
      <c r="L391" s="3120">
        <v>11300</v>
      </c>
      <c r="M391" s="89"/>
      <c r="N391" s="60"/>
      <c r="O391" s="73"/>
      <c r="P391" s="65"/>
      <c r="Q391" s="73"/>
      <c r="R391" s="62"/>
    </row>
    <row r="392" spans="1:18" s="34" customFormat="1" x14ac:dyDescent="0.2">
      <c r="A392" s="718">
        <v>633</v>
      </c>
      <c r="B392" s="557" t="s">
        <v>97</v>
      </c>
      <c r="C392" s="1143" t="s">
        <v>457</v>
      </c>
      <c r="D392" s="1641">
        <v>0</v>
      </c>
      <c r="E392" s="1683"/>
      <c r="F392" s="1641"/>
      <c r="G392" s="2864">
        <v>200</v>
      </c>
      <c r="H392" s="2864">
        <v>200</v>
      </c>
      <c r="I392" s="3146">
        <v>200</v>
      </c>
      <c r="J392" s="3123">
        <v>200</v>
      </c>
      <c r="K392" s="3124">
        <v>500</v>
      </c>
      <c r="L392" s="3120">
        <v>300</v>
      </c>
      <c r="M392" s="89"/>
      <c r="N392" s="60"/>
      <c r="O392" s="73"/>
      <c r="P392" s="65"/>
      <c r="Q392" s="73"/>
      <c r="R392" s="62"/>
    </row>
    <row r="393" spans="1:18" s="34" customFormat="1" x14ac:dyDescent="0.2">
      <c r="A393" s="718">
        <v>633</v>
      </c>
      <c r="B393" s="557" t="s">
        <v>120</v>
      </c>
      <c r="C393" s="1143" t="s">
        <v>458</v>
      </c>
      <c r="D393" s="1641">
        <v>2200</v>
      </c>
      <c r="E393" s="1683"/>
      <c r="F393" s="1641"/>
      <c r="G393" s="2864">
        <v>600</v>
      </c>
      <c r="H393" s="2864">
        <v>600</v>
      </c>
      <c r="I393" s="3084">
        <v>600</v>
      </c>
      <c r="J393" s="3123">
        <v>600</v>
      </c>
      <c r="K393" s="3124">
        <v>600</v>
      </c>
      <c r="L393" s="3120">
        <v>500</v>
      </c>
      <c r="M393" s="89"/>
      <c r="N393" s="60"/>
      <c r="O393" s="73"/>
      <c r="P393" s="65"/>
      <c r="Q393" s="73"/>
      <c r="R393" s="62"/>
    </row>
    <row r="394" spans="1:18" s="34" customFormat="1" x14ac:dyDescent="0.2">
      <c r="A394" s="718">
        <v>633</v>
      </c>
      <c r="B394" s="43" t="s">
        <v>125</v>
      </c>
      <c r="C394" s="1143" t="s">
        <v>460</v>
      </c>
      <c r="D394" s="1641">
        <v>1800</v>
      </c>
      <c r="E394" s="1683"/>
      <c r="F394" s="1641"/>
      <c r="G394" s="2864">
        <v>4000</v>
      </c>
      <c r="H394" s="2864">
        <v>4000</v>
      </c>
      <c r="I394" s="3084">
        <v>4000</v>
      </c>
      <c r="J394" s="3123">
        <v>4000</v>
      </c>
      <c r="K394" s="3124">
        <v>5000</v>
      </c>
      <c r="L394" s="3120">
        <v>4000</v>
      </c>
      <c r="M394" s="89"/>
      <c r="N394" s="60"/>
      <c r="O394" s="73"/>
      <c r="P394" s="65"/>
      <c r="Q394" s="73"/>
      <c r="R394" s="62"/>
    </row>
    <row r="395" spans="1:18" s="34" customFormat="1" x14ac:dyDescent="0.2">
      <c r="A395" s="718">
        <v>633</v>
      </c>
      <c r="B395" s="43" t="s">
        <v>461</v>
      </c>
      <c r="C395" s="1143" t="s">
        <v>462</v>
      </c>
      <c r="D395" s="1641">
        <v>1300</v>
      </c>
      <c r="E395" s="1683"/>
      <c r="F395" s="1641"/>
      <c r="G395" s="2864">
        <v>1900</v>
      </c>
      <c r="H395" s="2864">
        <v>1900</v>
      </c>
      <c r="I395" s="3146">
        <v>1900</v>
      </c>
      <c r="J395" s="3123">
        <v>1900</v>
      </c>
      <c r="K395" s="3124">
        <v>3500</v>
      </c>
      <c r="L395" s="3120">
        <v>2000</v>
      </c>
      <c r="M395" s="89"/>
      <c r="N395" s="60"/>
      <c r="O395" s="73"/>
      <c r="P395" s="65"/>
      <c r="Q395" s="73"/>
      <c r="R395" s="62"/>
    </row>
    <row r="396" spans="1:18" s="34" customFormat="1" x14ac:dyDescent="0.2">
      <c r="A396" s="718">
        <v>633</v>
      </c>
      <c r="B396" s="43" t="s">
        <v>463</v>
      </c>
      <c r="C396" s="1143" t="s">
        <v>464</v>
      </c>
      <c r="D396" s="1641">
        <v>0</v>
      </c>
      <c r="E396" s="1683"/>
      <c r="F396" s="1641"/>
      <c r="G396" s="2864">
        <v>350</v>
      </c>
      <c r="H396" s="2864">
        <v>350</v>
      </c>
      <c r="I396" s="3084">
        <v>350</v>
      </c>
      <c r="J396" s="3123">
        <v>350</v>
      </c>
      <c r="K396" s="3124">
        <v>350</v>
      </c>
      <c r="L396" s="3120">
        <v>100</v>
      </c>
      <c r="M396" s="89"/>
      <c r="N396" s="60"/>
      <c r="O396" s="73"/>
      <c r="P396" s="65"/>
      <c r="Q396" s="73"/>
      <c r="R396" s="62"/>
    </row>
    <row r="397" spans="1:18" s="34" customFormat="1" x14ac:dyDescent="0.2">
      <c r="A397" s="718">
        <v>633</v>
      </c>
      <c r="B397" s="43" t="s">
        <v>465</v>
      </c>
      <c r="C397" s="1143" t="s">
        <v>790</v>
      </c>
      <c r="D397" s="1641">
        <v>0</v>
      </c>
      <c r="E397" s="1683"/>
      <c r="F397" s="1641"/>
      <c r="G397" s="2864">
        <v>200</v>
      </c>
      <c r="H397" s="2864">
        <v>200</v>
      </c>
      <c r="I397" s="3146">
        <v>200</v>
      </c>
      <c r="J397" s="3123">
        <v>200</v>
      </c>
      <c r="K397" s="3124">
        <v>500</v>
      </c>
      <c r="L397" s="3120">
        <v>500</v>
      </c>
      <c r="M397" s="89"/>
      <c r="N397" s="60"/>
      <c r="O397" s="73"/>
      <c r="P397" s="65"/>
      <c r="Q397" s="73"/>
      <c r="R397" s="62"/>
    </row>
    <row r="398" spans="1:18" s="34" customFormat="1" x14ac:dyDescent="0.2">
      <c r="A398" s="718">
        <v>633</v>
      </c>
      <c r="B398" s="43" t="s">
        <v>103</v>
      </c>
      <c r="C398" s="1143" t="s">
        <v>467</v>
      </c>
      <c r="D398" s="1641">
        <v>200</v>
      </c>
      <c r="E398" s="1683"/>
      <c r="F398" s="1641"/>
      <c r="G398" s="2864">
        <v>500</v>
      </c>
      <c r="H398" s="2864">
        <v>500</v>
      </c>
      <c r="I398" s="3146">
        <v>500</v>
      </c>
      <c r="J398" s="3123">
        <v>500</v>
      </c>
      <c r="K398" s="3124">
        <v>100</v>
      </c>
      <c r="L398" s="3120">
        <v>200</v>
      </c>
      <c r="M398" s="89"/>
      <c r="N398" s="60"/>
      <c r="O398" s="73"/>
      <c r="P398" s="65"/>
      <c r="Q398" s="73"/>
      <c r="R398" s="62"/>
    </row>
    <row r="399" spans="1:18" s="34" customFormat="1" x14ac:dyDescent="0.2">
      <c r="A399" s="718">
        <v>633</v>
      </c>
      <c r="B399" s="43" t="s">
        <v>468</v>
      </c>
      <c r="C399" s="1143" t="s">
        <v>469</v>
      </c>
      <c r="D399" s="1641"/>
      <c r="E399" s="1683"/>
      <c r="F399" s="1641"/>
      <c r="G399" s="2864">
        <v>500</v>
      </c>
      <c r="H399" s="2864">
        <v>500</v>
      </c>
      <c r="I399" s="3146">
        <v>500</v>
      </c>
      <c r="J399" s="3123">
        <v>500</v>
      </c>
      <c r="K399" s="3124">
        <v>200</v>
      </c>
      <c r="L399" s="3120">
        <v>500</v>
      </c>
      <c r="M399" s="89"/>
      <c r="N399" s="60"/>
      <c r="O399" s="73"/>
      <c r="P399" s="65"/>
      <c r="Q399" s="73"/>
      <c r="R399" s="62"/>
    </row>
    <row r="400" spans="1:18" s="34" customFormat="1" x14ac:dyDescent="0.2">
      <c r="A400" s="1674">
        <v>635</v>
      </c>
      <c r="B400" s="570"/>
      <c r="C400" s="1153" t="s">
        <v>477</v>
      </c>
      <c r="D400" s="2097">
        <f t="shared" ref="D400:L400" si="48">SUM(D401:D403)</f>
        <v>1160</v>
      </c>
      <c r="E400" s="1876"/>
      <c r="F400" s="1873"/>
      <c r="G400" s="1872">
        <f t="shared" si="48"/>
        <v>3950</v>
      </c>
      <c r="H400" s="2984">
        <f t="shared" si="48"/>
        <v>3950</v>
      </c>
      <c r="I400" s="3083">
        <f>SUM(I401:I403)</f>
        <v>3950</v>
      </c>
      <c r="J400" s="2446">
        <f>SUM(J401:J403)</f>
        <v>3950</v>
      </c>
      <c r="K400" s="2086">
        <f t="shared" si="48"/>
        <v>900</v>
      </c>
      <c r="L400" s="3238">
        <f t="shared" si="48"/>
        <v>800</v>
      </c>
      <c r="M400" s="89"/>
      <c r="N400" s="60"/>
      <c r="O400" s="73"/>
      <c r="P400" s="65"/>
      <c r="Q400" s="73"/>
      <c r="R400" s="62"/>
    </row>
    <row r="401" spans="1:18" s="34" customFormat="1" x14ac:dyDescent="0.2">
      <c r="A401" s="1675">
        <v>635</v>
      </c>
      <c r="B401" s="566" t="s">
        <v>97</v>
      </c>
      <c r="C401" s="1151" t="s">
        <v>478</v>
      </c>
      <c r="D401" s="1641">
        <v>0</v>
      </c>
      <c r="E401" s="1683"/>
      <c r="F401" s="1641"/>
      <c r="G401" s="2864">
        <v>150</v>
      </c>
      <c r="H401" s="2864">
        <v>150</v>
      </c>
      <c r="I401" s="3146">
        <v>150</v>
      </c>
      <c r="J401" s="3123">
        <v>150</v>
      </c>
      <c r="K401" s="3124">
        <v>200</v>
      </c>
      <c r="L401" s="3120">
        <v>100</v>
      </c>
      <c r="M401" s="89"/>
      <c r="N401" s="60"/>
      <c r="O401" s="73"/>
      <c r="P401" s="65"/>
      <c r="Q401" s="73"/>
      <c r="R401" s="62"/>
    </row>
    <row r="402" spans="1:18" s="34" customFormat="1" x14ac:dyDescent="0.2">
      <c r="A402" s="718">
        <v>635</v>
      </c>
      <c r="B402" s="43" t="s">
        <v>111</v>
      </c>
      <c r="C402" s="1143" t="s">
        <v>479</v>
      </c>
      <c r="D402" s="1641">
        <v>60</v>
      </c>
      <c r="E402" s="1683"/>
      <c r="F402" s="1641"/>
      <c r="G402" s="2864">
        <v>200</v>
      </c>
      <c r="H402" s="2864">
        <v>200</v>
      </c>
      <c r="I402" s="3146">
        <v>200</v>
      </c>
      <c r="J402" s="3123">
        <v>200</v>
      </c>
      <c r="K402" s="3124">
        <v>200</v>
      </c>
      <c r="L402" s="3120">
        <v>500</v>
      </c>
      <c r="M402" s="89"/>
      <c r="N402" s="60"/>
      <c r="O402" s="73"/>
      <c r="P402" s="65"/>
      <c r="Q402" s="73"/>
      <c r="R402" s="62"/>
    </row>
    <row r="403" spans="1:18" s="34" customFormat="1" x14ac:dyDescent="0.2">
      <c r="A403" s="719">
        <v>635</v>
      </c>
      <c r="B403" s="85" t="s">
        <v>125</v>
      </c>
      <c r="C403" s="1150" t="s">
        <v>480</v>
      </c>
      <c r="D403" s="1641">
        <v>1100</v>
      </c>
      <c r="E403" s="1683"/>
      <c r="F403" s="1641"/>
      <c r="G403" s="2864">
        <v>3600</v>
      </c>
      <c r="H403" s="2864">
        <v>3600</v>
      </c>
      <c r="I403" s="3146">
        <v>3600</v>
      </c>
      <c r="J403" s="3123">
        <v>3600</v>
      </c>
      <c r="K403" s="3124">
        <v>500</v>
      </c>
      <c r="L403" s="3120">
        <v>200</v>
      </c>
      <c r="M403" s="89"/>
      <c r="N403" s="60"/>
      <c r="O403" s="73"/>
      <c r="P403" s="65"/>
      <c r="Q403" s="73"/>
      <c r="R403" s="62"/>
    </row>
    <row r="404" spans="1:18" s="34" customFormat="1" x14ac:dyDescent="0.2">
      <c r="A404" s="1674">
        <v>637</v>
      </c>
      <c r="B404" s="570"/>
      <c r="C404" s="1153" t="s">
        <v>483</v>
      </c>
      <c r="D404" s="2097">
        <f t="shared" ref="D404:L404" si="49">SUM(D405:D411)</f>
        <v>3286</v>
      </c>
      <c r="E404" s="1876"/>
      <c r="F404" s="1873"/>
      <c r="G404" s="1872">
        <f t="shared" si="49"/>
        <v>7200</v>
      </c>
      <c r="H404" s="2984">
        <f t="shared" si="49"/>
        <v>7200</v>
      </c>
      <c r="I404" s="3083">
        <f>SUM(I405:I411)</f>
        <v>7200</v>
      </c>
      <c r="J404" s="2446">
        <f>SUM(J405:J411)</f>
        <v>7200</v>
      </c>
      <c r="K404" s="2086">
        <f t="shared" si="49"/>
        <v>8950</v>
      </c>
      <c r="L404" s="3238">
        <f t="shared" si="49"/>
        <v>9900</v>
      </c>
      <c r="M404" s="89"/>
      <c r="N404" s="60"/>
      <c r="O404" s="73"/>
      <c r="P404" s="65"/>
      <c r="Q404" s="73"/>
      <c r="R404" s="62"/>
    </row>
    <row r="405" spans="1:18" s="34" customFormat="1" x14ac:dyDescent="0.2">
      <c r="A405" s="1675">
        <v>637</v>
      </c>
      <c r="B405" s="566" t="s">
        <v>94</v>
      </c>
      <c r="C405" s="1151" t="s">
        <v>484</v>
      </c>
      <c r="D405" s="1641">
        <v>0</v>
      </c>
      <c r="E405" s="1683"/>
      <c r="F405" s="1641"/>
      <c r="G405" s="2864">
        <v>600</v>
      </c>
      <c r="H405" s="2864">
        <v>600</v>
      </c>
      <c r="I405" s="3146">
        <v>600</v>
      </c>
      <c r="J405" s="3123">
        <v>600</v>
      </c>
      <c r="K405" s="3124">
        <v>150</v>
      </c>
      <c r="L405" s="1494">
        <v>500</v>
      </c>
      <c r="M405" s="89"/>
      <c r="N405" s="60"/>
      <c r="O405" s="73"/>
      <c r="P405" s="65"/>
      <c r="Q405" s="73"/>
      <c r="R405" s="62"/>
    </row>
    <row r="406" spans="1:18" s="34" customFormat="1" x14ac:dyDescent="0.2">
      <c r="A406" s="1676">
        <v>637</v>
      </c>
      <c r="B406" s="1067" t="s">
        <v>111</v>
      </c>
      <c r="C406" s="1155" t="s">
        <v>487</v>
      </c>
      <c r="D406" s="1641">
        <v>1000</v>
      </c>
      <c r="E406" s="1683"/>
      <c r="F406" s="1641"/>
      <c r="G406" s="2864">
        <v>4000</v>
      </c>
      <c r="H406" s="2864">
        <v>4000</v>
      </c>
      <c r="I406" s="3084">
        <v>4000</v>
      </c>
      <c r="J406" s="3123">
        <v>4000</v>
      </c>
      <c r="K406" s="3124">
        <v>5000</v>
      </c>
      <c r="L406" s="1494">
        <v>6000</v>
      </c>
      <c r="M406" s="89"/>
      <c r="N406" s="60"/>
      <c r="O406" s="73"/>
      <c r="P406" s="65"/>
      <c r="Q406" s="73"/>
      <c r="R406" s="62"/>
    </row>
    <row r="407" spans="1:18" s="34" customFormat="1" x14ac:dyDescent="0.2">
      <c r="A407" s="718">
        <v>637</v>
      </c>
      <c r="B407" s="43" t="s">
        <v>120</v>
      </c>
      <c r="C407" s="1143" t="s">
        <v>327</v>
      </c>
      <c r="D407" s="1641">
        <v>112</v>
      </c>
      <c r="E407" s="1683"/>
      <c r="F407" s="1641"/>
      <c r="G407" s="2864">
        <v>500</v>
      </c>
      <c r="H407" s="2864">
        <v>500</v>
      </c>
      <c r="I407" s="3084">
        <v>500</v>
      </c>
      <c r="J407" s="3123">
        <v>500</v>
      </c>
      <c r="K407" s="3124">
        <v>500</v>
      </c>
      <c r="L407" s="1494">
        <v>0</v>
      </c>
      <c r="M407" s="89"/>
      <c r="N407" s="60"/>
      <c r="O407" s="73"/>
      <c r="P407" s="65"/>
      <c r="Q407" s="73"/>
      <c r="R407" s="62"/>
    </row>
    <row r="408" spans="1:18" s="34" customFormat="1" x14ac:dyDescent="0.2">
      <c r="A408" s="718">
        <v>637</v>
      </c>
      <c r="B408" s="43" t="s">
        <v>102</v>
      </c>
      <c r="C408" s="1143" t="s">
        <v>488</v>
      </c>
      <c r="D408" s="1641">
        <v>50</v>
      </c>
      <c r="E408" s="1683"/>
      <c r="F408" s="1641"/>
      <c r="G408" s="2864">
        <v>550</v>
      </c>
      <c r="H408" s="2864">
        <v>550</v>
      </c>
      <c r="I408" s="3146">
        <v>550</v>
      </c>
      <c r="J408" s="3123">
        <v>550</v>
      </c>
      <c r="K408" s="3124">
        <v>800</v>
      </c>
      <c r="L408" s="1494">
        <v>800</v>
      </c>
      <c r="M408" s="89"/>
      <c r="N408" s="60"/>
      <c r="O408" s="73"/>
      <c r="P408" s="65"/>
      <c r="Q408" s="73"/>
      <c r="R408" s="62"/>
    </row>
    <row r="409" spans="1:18" s="34" customFormat="1" x14ac:dyDescent="0.2">
      <c r="A409" s="1675">
        <v>637</v>
      </c>
      <c r="B409" s="566" t="s">
        <v>105</v>
      </c>
      <c r="C409" s="1151" t="s">
        <v>489</v>
      </c>
      <c r="D409" s="1641">
        <v>0</v>
      </c>
      <c r="E409" s="1683"/>
      <c r="F409" s="1641"/>
      <c r="G409" s="2864">
        <v>0</v>
      </c>
      <c r="H409" s="2864">
        <v>0</v>
      </c>
      <c r="I409" s="3084">
        <v>0</v>
      </c>
      <c r="J409" s="3123">
        <v>0</v>
      </c>
      <c r="K409" s="3124">
        <v>0</v>
      </c>
      <c r="L409" s="1494">
        <v>0</v>
      </c>
      <c r="M409" s="89"/>
      <c r="N409" s="60"/>
      <c r="O409" s="73"/>
      <c r="P409" s="65"/>
      <c r="Q409" s="73"/>
      <c r="R409" s="62"/>
    </row>
    <row r="410" spans="1:18" s="34" customFormat="1" x14ac:dyDescent="0.2">
      <c r="A410" s="718">
        <v>637</v>
      </c>
      <c r="B410" s="43" t="s">
        <v>468</v>
      </c>
      <c r="C410" s="1143" t="s">
        <v>493</v>
      </c>
      <c r="D410" s="1641">
        <v>1900</v>
      </c>
      <c r="E410" s="1683"/>
      <c r="F410" s="1641"/>
      <c r="G410" s="2864">
        <v>1550</v>
      </c>
      <c r="H410" s="2864">
        <v>1550</v>
      </c>
      <c r="I410" s="3084">
        <v>1550</v>
      </c>
      <c r="J410" s="3123">
        <v>1550</v>
      </c>
      <c r="K410" s="3124">
        <v>1500</v>
      </c>
      <c r="L410" s="1494">
        <v>1600</v>
      </c>
      <c r="M410" s="89"/>
      <c r="N410" s="60"/>
      <c r="O410" s="73"/>
      <c r="P410" s="65"/>
      <c r="Q410" s="73"/>
      <c r="R410" s="62"/>
    </row>
    <row r="411" spans="1:18" s="34" customFormat="1" x14ac:dyDescent="0.2">
      <c r="A411" s="719">
        <v>637</v>
      </c>
      <c r="B411" s="85" t="s">
        <v>496</v>
      </c>
      <c r="C411" s="1150" t="s">
        <v>959</v>
      </c>
      <c r="D411" s="1641">
        <v>224</v>
      </c>
      <c r="E411" s="1683"/>
      <c r="F411" s="1641"/>
      <c r="G411" s="2864">
        <v>0</v>
      </c>
      <c r="H411" s="2864">
        <v>0</v>
      </c>
      <c r="I411" s="3084">
        <v>0</v>
      </c>
      <c r="J411" s="3123">
        <v>0</v>
      </c>
      <c r="K411" s="3124">
        <v>1000</v>
      </c>
      <c r="L411" s="1494">
        <v>1000</v>
      </c>
      <c r="M411" s="89"/>
      <c r="N411" s="60"/>
      <c r="O411" s="73"/>
      <c r="P411" s="65"/>
      <c r="Q411" s="73"/>
      <c r="R411" s="62"/>
    </row>
    <row r="412" spans="1:18" s="34" customFormat="1" x14ac:dyDescent="0.2">
      <c r="A412" s="1677">
        <v>640</v>
      </c>
      <c r="B412" s="570"/>
      <c r="C412" s="1153" t="s">
        <v>497</v>
      </c>
      <c r="D412" s="2097">
        <f>SUM(D413:D417)</f>
        <v>13100</v>
      </c>
      <c r="E412" s="1876"/>
      <c r="F412" s="1873"/>
      <c r="G412" s="1872">
        <f t="shared" ref="G412:L412" si="50">G413+G414</f>
        <v>4000</v>
      </c>
      <c r="H412" s="2984">
        <f t="shared" si="50"/>
        <v>4000</v>
      </c>
      <c r="I412" s="3083">
        <f>I413+I414+I415+I416</f>
        <v>13214</v>
      </c>
      <c r="J412" s="2446">
        <f>J413+J414+J415+J416</f>
        <v>4200</v>
      </c>
      <c r="K412" s="3237">
        <f t="shared" si="50"/>
        <v>5200</v>
      </c>
      <c r="L412" s="3238">
        <f t="shared" si="50"/>
        <v>6300</v>
      </c>
      <c r="M412" s="89"/>
      <c r="N412" s="60"/>
      <c r="O412" s="73"/>
      <c r="P412" s="65"/>
      <c r="Q412" s="73"/>
      <c r="R412" s="62"/>
    </row>
    <row r="413" spans="1:18" s="34" customFormat="1" x14ac:dyDescent="0.2">
      <c r="A413" s="1678"/>
      <c r="B413" s="640"/>
      <c r="C413" s="1636" t="s">
        <v>388</v>
      </c>
      <c r="D413" s="2209">
        <v>50</v>
      </c>
      <c r="E413" s="1878"/>
      <c r="F413" s="2209"/>
      <c r="G413" s="2876">
        <v>100</v>
      </c>
      <c r="H413" s="2876">
        <v>100</v>
      </c>
      <c r="I413" s="3138">
        <v>0</v>
      </c>
      <c r="J413" s="3123">
        <v>200</v>
      </c>
      <c r="K413" s="3239">
        <v>200</v>
      </c>
      <c r="L413" s="3242">
        <v>300</v>
      </c>
      <c r="M413" s="625"/>
      <c r="N413" s="626"/>
      <c r="O413" s="625"/>
      <c r="P413" s="528"/>
      <c r="Q413" s="625"/>
      <c r="R413" s="16"/>
    </row>
    <row r="414" spans="1:18" s="34" customFormat="1" x14ac:dyDescent="0.2">
      <c r="A414" s="1678"/>
      <c r="B414" s="640"/>
      <c r="C414" s="1636" t="s">
        <v>587</v>
      </c>
      <c r="D414" s="2209">
        <v>3500</v>
      </c>
      <c r="E414" s="1878"/>
      <c r="F414" s="2209"/>
      <c r="G414" s="2876">
        <v>3900</v>
      </c>
      <c r="H414" s="2876">
        <v>3900</v>
      </c>
      <c r="I414" s="3138">
        <v>7887</v>
      </c>
      <c r="J414" s="3123">
        <v>4000</v>
      </c>
      <c r="K414" s="3240">
        <v>5000</v>
      </c>
      <c r="L414" s="3243">
        <v>6000</v>
      </c>
      <c r="M414" s="625"/>
      <c r="N414" s="626"/>
      <c r="O414" s="625"/>
      <c r="P414" s="528"/>
      <c r="Q414" s="625"/>
      <c r="R414" s="16"/>
    </row>
    <row r="415" spans="1:18" s="34" customFormat="1" x14ac:dyDescent="0.2">
      <c r="A415" s="1678"/>
      <c r="B415" s="640"/>
      <c r="C415" s="1636" t="s">
        <v>914</v>
      </c>
      <c r="D415" s="2209"/>
      <c r="E415" s="2305"/>
      <c r="F415" s="2209"/>
      <c r="G415" s="2883"/>
      <c r="H415" s="2883"/>
      <c r="I415" s="2322">
        <v>100</v>
      </c>
      <c r="J415" s="3123">
        <v>0</v>
      </c>
      <c r="K415" s="3241"/>
      <c r="L415" s="3244"/>
      <c r="M415" s="625"/>
      <c r="N415" s="626"/>
      <c r="O415" s="625"/>
      <c r="P415" s="528"/>
      <c r="Q415" s="625"/>
      <c r="R415" s="16"/>
    </row>
    <row r="416" spans="1:18" s="34" customFormat="1" x14ac:dyDescent="0.2">
      <c r="A416" s="1678"/>
      <c r="B416" s="640"/>
      <c r="C416" s="1636" t="s">
        <v>911</v>
      </c>
      <c r="D416" s="2209"/>
      <c r="E416" s="2305"/>
      <c r="F416" s="2209"/>
      <c r="G416" s="2883"/>
      <c r="H416" s="2883"/>
      <c r="I416" s="2322">
        <v>5227</v>
      </c>
      <c r="J416" s="3123">
        <v>0</v>
      </c>
      <c r="K416" s="3241"/>
      <c r="L416" s="3244"/>
      <c r="M416" s="625"/>
      <c r="N416" s="626"/>
      <c r="O416" s="625"/>
      <c r="P416" s="528"/>
      <c r="Q416" s="625"/>
      <c r="R416" s="16"/>
    </row>
    <row r="417" spans="1:18" s="34" customFormat="1" ht="13.5" thickBot="1" x14ac:dyDescent="0.25">
      <c r="A417" s="1671"/>
      <c r="B417" s="2483"/>
      <c r="C417" s="2484" t="s">
        <v>588</v>
      </c>
      <c r="D417" s="1642">
        <v>9550</v>
      </c>
      <c r="E417" s="1602"/>
      <c r="F417" s="1642">
        <v>19832</v>
      </c>
      <c r="G417" s="2862">
        <v>240</v>
      </c>
      <c r="H417" s="2862">
        <v>240</v>
      </c>
      <c r="I417" s="3145">
        <v>3205</v>
      </c>
      <c r="J417" s="3199">
        <v>0</v>
      </c>
      <c r="K417" s="3130">
        <v>0</v>
      </c>
      <c r="L417" s="3121">
        <v>0</v>
      </c>
      <c r="M417" s="89"/>
      <c r="N417" s="60"/>
      <c r="O417" s="73"/>
      <c r="P417" s="65"/>
      <c r="Q417" s="73"/>
      <c r="R417" s="16"/>
    </row>
    <row r="418" spans="1:18" s="34" customFormat="1" ht="13.5" thickBot="1" x14ac:dyDescent="0.25">
      <c r="A418" s="3786" t="s">
        <v>725</v>
      </c>
      <c r="B418" s="3787"/>
      <c r="C418" s="3788"/>
      <c r="D418" s="2466">
        <f>SUM(D419:D421)</f>
        <v>23000</v>
      </c>
      <c r="E418" s="2492"/>
      <c r="F418" s="2493">
        <f>F421+F419+F420</f>
        <v>0</v>
      </c>
      <c r="G418" s="2492">
        <f>G419+G420+G421</f>
        <v>39110</v>
      </c>
      <c r="H418" s="2494">
        <f>H421+H419+H420</f>
        <v>39110</v>
      </c>
      <c r="I418" s="2495">
        <f>I421+I419+I420</f>
        <v>41647</v>
      </c>
      <c r="J418" s="2496">
        <f>J421+J419+J420</f>
        <v>43010</v>
      </c>
      <c r="K418" s="2497">
        <f>K421+K419+K420</f>
        <v>61200</v>
      </c>
      <c r="L418" s="2498">
        <f>L421+L419+L420</f>
        <v>66230</v>
      </c>
      <c r="M418" s="89"/>
      <c r="N418" s="60"/>
      <c r="O418" s="73"/>
      <c r="P418" s="65"/>
      <c r="Q418" s="73"/>
      <c r="R418" s="16"/>
    </row>
    <row r="419" spans="1:18" s="34" customFormat="1" x14ac:dyDescent="0.2">
      <c r="A419" s="2485"/>
      <c r="B419" s="2486">
        <v>610</v>
      </c>
      <c r="C419" s="2487" t="s">
        <v>449</v>
      </c>
      <c r="D419" s="2488"/>
      <c r="E419" s="2489"/>
      <c r="F419" s="2490"/>
      <c r="G419" s="2489">
        <v>17000</v>
      </c>
      <c r="H419" s="2985">
        <v>17000</v>
      </c>
      <c r="I419" s="3148">
        <v>17000</v>
      </c>
      <c r="J419" s="2461">
        <v>17500</v>
      </c>
      <c r="K419" s="2491">
        <v>20500</v>
      </c>
      <c r="L419" s="3231">
        <v>25800</v>
      </c>
      <c r="M419" s="89"/>
      <c r="N419" s="60"/>
      <c r="O419" s="73"/>
      <c r="P419" s="65"/>
      <c r="Q419" s="73"/>
      <c r="R419" s="16"/>
    </row>
    <row r="420" spans="1:18" s="34" customFormat="1" x14ac:dyDescent="0.2">
      <c r="A420" s="1670"/>
      <c r="B420" s="1652">
        <v>620</v>
      </c>
      <c r="C420" s="1654" t="s">
        <v>194</v>
      </c>
      <c r="D420" s="2210"/>
      <c r="E420" s="1918"/>
      <c r="F420" s="2271"/>
      <c r="G420" s="1918">
        <v>6000</v>
      </c>
      <c r="H420" s="2986">
        <v>6000</v>
      </c>
      <c r="I420" s="3149">
        <v>6000</v>
      </c>
      <c r="J420" s="2446">
        <v>6200</v>
      </c>
      <c r="K420" s="2088">
        <v>7200</v>
      </c>
      <c r="L420" s="3232">
        <v>9020</v>
      </c>
      <c r="M420" s="89"/>
      <c r="N420" s="60"/>
      <c r="O420" s="73"/>
      <c r="P420" s="65"/>
      <c r="Q420" s="73"/>
      <c r="R420" s="16"/>
    </row>
    <row r="421" spans="1:18" s="34" customFormat="1" x14ac:dyDescent="0.2">
      <c r="A421" s="1671"/>
      <c r="B421" s="1659" t="s">
        <v>586</v>
      </c>
      <c r="C421" s="1660" t="s">
        <v>363</v>
      </c>
      <c r="D421" s="2211">
        <f t="shared" ref="D421:L421" si="51">SUM(D422+D428+D432)</f>
        <v>23000</v>
      </c>
      <c r="E421" s="2268"/>
      <c r="F421" s="2211"/>
      <c r="G421" s="1917">
        <f t="shared" si="51"/>
        <v>16110</v>
      </c>
      <c r="H421" s="2987">
        <f t="shared" si="51"/>
        <v>16110</v>
      </c>
      <c r="I421" s="3085">
        <f>SUM(I422+I428+I432)</f>
        <v>18647</v>
      </c>
      <c r="J421" s="2446">
        <f>SUM(J422+J428+J432)</f>
        <v>19310</v>
      </c>
      <c r="K421" s="2085">
        <f t="shared" si="51"/>
        <v>33500</v>
      </c>
      <c r="L421" s="3233">
        <f t="shared" si="51"/>
        <v>31410</v>
      </c>
      <c r="M421" s="89"/>
      <c r="N421" s="60"/>
      <c r="O421" s="73"/>
      <c r="P421" s="65"/>
      <c r="Q421" s="73"/>
      <c r="R421" s="16"/>
    </row>
    <row r="422" spans="1:18" s="34" customFormat="1" x14ac:dyDescent="0.2">
      <c r="A422" s="1673">
        <v>633</v>
      </c>
      <c r="B422" s="1650"/>
      <c r="C422" s="1698" t="s">
        <v>455</v>
      </c>
      <c r="D422" s="2212">
        <f t="shared" ref="D422:L422" si="52">SUM(D423:D427)</f>
        <v>18000</v>
      </c>
      <c r="E422" s="2269"/>
      <c r="F422" s="2212"/>
      <c r="G422" s="1914">
        <f t="shared" si="52"/>
        <v>13460</v>
      </c>
      <c r="H422" s="2988">
        <f t="shared" si="52"/>
        <v>13460</v>
      </c>
      <c r="I422" s="3086">
        <f>SUM(I423:I427)</f>
        <v>15997</v>
      </c>
      <c r="J422" s="2446">
        <f>SUM(J423:J427)</f>
        <v>16460</v>
      </c>
      <c r="K422" s="2089">
        <f t="shared" si="52"/>
        <v>32250</v>
      </c>
      <c r="L422" s="3234">
        <f t="shared" si="52"/>
        <v>30060</v>
      </c>
      <c r="M422" s="89"/>
      <c r="N422" s="60"/>
      <c r="O422" s="73"/>
      <c r="P422" s="65"/>
      <c r="Q422" s="73"/>
      <c r="R422" s="16"/>
    </row>
    <row r="423" spans="1:18" s="34" customFormat="1" x14ac:dyDescent="0.2">
      <c r="A423" s="1675">
        <v>633</v>
      </c>
      <c r="B423" s="1651" t="s">
        <v>120</v>
      </c>
      <c r="C423" s="1143" t="s">
        <v>458</v>
      </c>
      <c r="D423" s="1641">
        <v>450</v>
      </c>
      <c r="E423" s="2153"/>
      <c r="F423" s="1641"/>
      <c r="G423" s="2866">
        <v>500</v>
      </c>
      <c r="H423" s="2866">
        <v>500</v>
      </c>
      <c r="I423" s="3138">
        <v>500</v>
      </c>
      <c r="J423" s="3123">
        <v>500</v>
      </c>
      <c r="K423" s="3130">
        <v>3500</v>
      </c>
      <c r="L423" s="3121">
        <v>500</v>
      </c>
      <c r="M423" s="89"/>
      <c r="N423" s="60"/>
      <c r="O423" s="73"/>
      <c r="P423" s="65"/>
      <c r="Q423" s="73"/>
      <c r="R423" s="16"/>
    </row>
    <row r="424" spans="1:18" s="34" customFormat="1" x14ac:dyDescent="0.2">
      <c r="A424" s="718">
        <v>633</v>
      </c>
      <c r="B424" s="43" t="s">
        <v>125</v>
      </c>
      <c r="C424" s="1143" t="s">
        <v>460</v>
      </c>
      <c r="D424" s="1641">
        <v>1750</v>
      </c>
      <c r="E424" s="2153"/>
      <c r="F424" s="1641"/>
      <c r="G424" s="2866">
        <v>750</v>
      </c>
      <c r="H424" s="2866">
        <v>750</v>
      </c>
      <c r="I424" s="2322">
        <v>750</v>
      </c>
      <c r="J424" s="3123">
        <v>750</v>
      </c>
      <c r="K424" s="3130">
        <v>800</v>
      </c>
      <c r="L424" s="3121">
        <v>950</v>
      </c>
      <c r="M424" s="89"/>
      <c r="N424" s="60"/>
      <c r="O424" s="73"/>
      <c r="P424" s="65"/>
      <c r="Q424" s="73"/>
      <c r="R424" s="16"/>
    </row>
    <row r="425" spans="1:18" s="34" customFormat="1" x14ac:dyDescent="0.2">
      <c r="A425" s="718">
        <v>633</v>
      </c>
      <c r="B425" s="43" t="s">
        <v>463</v>
      </c>
      <c r="C425" s="1143" t="s">
        <v>464</v>
      </c>
      <c r="D425" s="1641">
        <v>160</v>
      </c>
      <c r="E425" s="2153"/>
      <c r="F425" s="1641"/>
      <c r="G425" s="2866">
        <v>160</v>
      </c>
      <c r="H425" s="2866">
        <v>160</v>
      </c>
      <c r="I425" s="3138">
        <v>160</v>
      </c>
      <c r="J425" s="3123">
        <v>160</v>
      </c>
      <c r="K425" s="3130">
        <v>200</v>
      </c>
      <c r="L425" s="3121">
        <v>60</v>
      </c>
      <c r="M425" s="89"/>
      <c r="N425" s="60"/>
      <c r="O425" s="73"/>
      <c r="P425" s="65"/>
      <c r="Q425" s="73"/>
      <c r="R425" s="16"/>
    </row>
    <row r="426" spans="1:18" s="34" customFormat="1" x14ac:dyDescent="0.2">
      <c r="A426" s="718">
        <v>633</v>
      </c>
      <c r="B426" s="43" t="s">
        <v>465</v>
      </c>
      <c r="C426" s="1143" t="s">
        <v>466</v>
      </c>
      <c r="D426" s="1641">
        <v>15600</v>
      </c>
      <c r="E426" s="2153"/>
      <c r="F426" s="1641"/>
      <c r="G426" s="2866">
        <v>12000</v>
      </c>
      <c r="H426" s="2866">
        <v>12000</v>
      </c>
      <c r="I426" s="3138">
        <v>14537</v>
      </c>
      <c r="J426" s="3123">
        <v>15000</v>
      </c>
      <c r="K426" s="3130">
        <v>27700</v>
      </c>
      <c r="L426" s="3121">
        <v>28500</v>
      </c>
      <c r="M426" s="89"/>
      <c r="N426" s="60"/>
      <c r="O426" s="73"/>
      <c r="P426" s="65"/>
      <c r="Q426" s="73"/>
      <c r="R426" s="16"/>
    </row>
    <row r="427" spans="1:18" s="34" customFormat="1" x14ac:dyDescent="0.2">
      <c r="A427" s="718">
        <v>633</v>
      </c>
      <c r="B427" s="43" t="s">
        <v>103</v>
      </c>
      <c r="C427" s="1143" t="s">
        <v>467</v>
      </c>
      <c r="D427" s="1641">
        <v>40</v>
      </c>
      <c r="E427" s="2153"/>
      <c r="F427" s="1641"/>
      <c r="G427" s="2866">
        <v>50</v>
      </c>
      <c r="H427" s="2866">
        <v>50</v>
      </c>
      <c r="I427" s="2322">
        <v>50</v>
      </c>
      <c r="J427" s="3123">
        <v>50</v>
      </c>
      <c r="K427" s="3130">
        <v>50</v>
      </c>
      <c r="L427" s="3121">
        <v>50</v>
      </c>
      <c r="M427" s="89"/>
      <c r="N427" s="60"/>
      <c r="O427" s="73"/>
      <c r="P427" s="65"/>
      <c r="Q427" s="73"/>
      <c r="R427" s="16"/>
    </row>
    <row r="428" spans="1:18" s="34" customFormat="1" x14ac:dyDescent="0.2">
      <c r="A428" s="1674">
        <v>635</v>
      </c>
      <c r="B428" s="570"/>
      <c r="C428" s="1153" t="s">
        <v>477</v>
      </c>
      <c r="D428" s="2212">
        <f t="shared" ref="D428:L428" si="53">SUM(D429:D431)</f>
        <v>1000</v>
      </c>
      <c r="E428" s="2269"/>
      <c r="F428" s="2212"/>
      <c r="G428" s="1914">
        <f t="shared" si="53"/>
        <v>1000</v>
      </c>
      <c r="H428" s="2988">
        <f t="shared" si="53"/>
        <v>1000</v>
      </c>
      <c r="I428" s="3086">
        <f>SUM(I429:I431)</f>
        <v>1000</v>
      </c>
      <c r="J428" s="2446">
        <f>SUM(J429:J431)</f>
        <v>1250</v>
      </c>
      <c r="K428" s="3246">
        <f t="shared" si="53"/>
        <v>1100</v>
      </c>
      <c r="L428" s="3235">
        <f t="shared" si="53"/>
        <v>1250</v>
      </c>
      <c r="M428" s="89"/>
      <c r="N428" s="60"/>
      <c r="O428" s="73"/>
      <c r="P428" s="65"/>
      <c r="Q428" s="73"/>
      <c r="R428" s="16"/>
    </row>
    <row r="429" spans="1:18" s="34" customFormat="1" x14ac:dyDescent="0.2">
      <c r="A429" s="1675">
        <v>635</v>
      </c>
      <c r="B429" s="566" t="s">
        <v>97</v>
      </c>
      <c r="C429" s="1151" t="s">
        <v>478</v>
      </c>
      <c r="D429" s="1641">
        <v>0</v>
      </c>
      <c r="E429" s="2153"/>
      <c r="F429" s="1641"/>
      <c r="G429" s="1915">
        <v>0</v>
      </c>
      <c r="H429" s="2866">
        <v>0</v>
      </c>
      <c r="I429" s="3150">
        <v>0</v>
      </c>
      <c r="J429" s="3123">
        <v>50</v>
      </c>
      <c r="K429" s="3130">
        <v>100</v>
      </c>
      <c r="L429" s="3121">
        <v>50</v>
      </c>
      <c r="M429" s="89"/>
      <c r="N429" s="60"/>
      <c r="O429" s="73"/>
      <c r="P429" s="65"/>
      <c r="Q429" s="73"/>
      <c r="R429" s="16"/>
    </row>
    <row r="430" spans="1:18" s="34" customFormat="1" x14ac:dyDescent="0.2">
      <c r="A430" s="718">
        <v>635</v>
      </c>
      <c r="B430" s="43" t="s">
        <v>111</v>
      </c>
      <c r="C430" s="1143" t="s">
        <v>479</v>
      </c>
      <c r="D430" s="1641">
        <v>1000</v>
      </c>
      <c r="E430" s="2153"/>
      <c r="F430" s="1641"/>
      <c r="G430" s="1915">
        <v>500</v>
      </c>
      <c r="H430" s="2866">
        <v>500</v>
      </c>
      <c r="I430" s="3087">
        <v>500</v>
      </c>
      <c r="J430" s="3123">
        <v>1000</v>
      </c>
      <c r="K430" s="3130">
        <v>500</v>
      </c>
      <c r="L430" s="3121">
        <v>1000</v>
      </c>
      <c r="M430" s="89"/>
      <c r="N430" s="60"/>
      <c r="O430" s="73"/>
      <c r="P430" s="65"/>
      <c r="Q430" s="73"/>
      <c r="R430" s="16"/>
    </row>
    <row r="431" spans="1:18" s="34" customFormat="1" x14ac:dyDescent="0.2">
      <c r="A431" s="719">
        <v>635</v>
      </c>
      <c r="B431" s="85" t="s">
        <v>125</v>
      </c>
      <c r="C431" s="1150" t="s">
        <v>480</v>
      </c>
      <c r="D431" s="1641">
        <v>0</v>
      </c>
      <c r="E431" s="2153"/>
      <c r="F431" s="1641"/>
      <c r="G431" s="1915">
        <v>500</v>
      </c>
      <c r="H431" s="2866">
        <v>500</v>
      </c>
      <c r="I431" s="3087">
        <v>500</v>
      </c>
      <c r="J431" s="3123">
        <v>200</v>
      </c>
      <c r="K431" s="3130">
        <v>500</v>
      </c>
      <c r="L431" s="3121">
        <v>200</v>
      </c>
      <c r="M431" s="89"/>
      <c r="N431" s="60"/>
      <c r="O431" s="73"/>
      <c r="P431" s="65"/>
      <c r="Q431" s="73"/>
      <c r="R431" s="16"/>
    </row>
    <row r="432" spans="1:18" s="34" customFormat="1" x14ac:dyDescent="0.2">
      <c r="A432" s="1674">
        <v>637</v>
      </c>
      <c r="B432" s="570"/>
      <c r="C432" s="1153" t="s">
        <v>483</v>
      </c>
      <c r="D432" s="2212">
        <f t="shared" ref="D432:L432" si="54">SUM(D433:D435)</f>
        <v>4000</v>
      </c>
      <c r="E432" s="2269"/>
      <c r="F432" s="2212"/>
      <c r="G432" s="1914">
        <f t="shared" si="54"/>
        <v>1650</v>
      </c>
      <c r="H432" s="2988">
        <f t="shared" si="54"/>
        <v>1650</v>
      </c>
      <c r="I432" s="3086">
        <f>SUM(I433:I435)</f>
        <v>1650</v>
      </c>
      <c r="J432" s="2446">
        <f>SUM(J433:J435)</f>
        <v>1600</v>
      </c>
      <c r="K432" s="3246">
        <f t="shared" si="54"/>
        <v>150</v>
      </c>
      <c r="L432" s="3235">
        <f t="shared" si="54"/>
        <v>100</v>
      </c>
      <c r="M432" s="89"/>
      <c r="N432" s="60"/>
      <c r="O432" s="73"/>
      <c r="P432" s="65"/>
      <c r="Q432" s="73"/>
      <c r="R432" s="16"/>
    </row>
    <row r="433" spans="1:18" s="34" customFormat="1" x14ac:dyDescent="0.2">
      <c r="A433" s="1675">
        <v>637</v>
      </c>
      <c r="B433" s="566" t="s">
        <v>94</v>
      </c>
      <c r="C433" s="1151" t="s">
        <v>484</v>
      </c>
      <c r="D433" s="1641">
        <v>0</v>
      </c>
      <c r="E433" s="2153"/>
      <c r="F433" s="1641"/>
      <c r="G433" s="1915">
        <v>150</v>
      </c>
      <c r="H433" s="2866">
        <v>150</v>
      </c>
      <c r="I433" s="3087">
        <v>150</v>
      </c>
      <c r="J433" s="3123">
        <v>100</v>
      </c>
      <c r="K433" s="3130">
        <v>150</v>
      </c>
      <c r="L433" s="3121">
        <v>100</v>
      </c>
      <c r="M433" s="89"/>
      <c r="N433" s="60"/>
      <c r="O433" s="73"/>
      <c r="P433" s="65"/>
      <c r="Q433" s="73"/>
      <c r="R433" s="16"/>
    </row>
    <row r="434" spans="1:18" s="34" customFormat="1" x14ac:dyDescent="0.2">
      <c r="A434" s="1676">
        <v>637</v>
      </c>
      <c r="B434" s="1067" t="s">
        <v>111</v>
      </c>
      <c r="C434" s="1155" t="s">
        <v>487</v>
      </c>
      <c r="D434" s="1641">
        <v>0</v>
      </c>
      <c r="E434" s="2153"/>
      <c r="F434" s="1641"/>
      <c r="G434" s="1915">
        <v>0</v>
      </c>
      <c r="H434" s="2866">
        <v>0</v>
      </c>
      <c r="I434" s="3087">
        <v>0</v>
      </c>
      <c r="J434" s="3123">
        <v>0</v>
      </c>
      <c r="K434" s="3130">
        <v>0</v>
      </c>
      <c r="L434" s="3121">
        <v>0</v>
      </c>
      <c r="M434" s="89"/>
      <c r="N434" s="60"/>
      <c r="O434" s="73"/>
      <c r="P434" s="65"/>
      <c r="Q434" s="73"/>
      <c r="R434" s="16"/>
    </row>
    <row r="435" spans="1:18" s="34" customFormat="1" ht="13.5" thickBot="1" x14ac:dyDescent="0.25">
      <c r="A435" s="2225"/>
      <c r="B435" s="1646"/>
      <c r="C435" s="1648" t="s">
        <v>833</v>
      </c>
      <c r="D435" s="1641">
        <v>4000</v>
      </c>
      <c r="E435" s="2270"/>
      <c r="F435" s="1641"/>
      <c r="G435" s="1916">
        <v>1500</v>
      </c>
      <c r="H435" s="2989">
        <v>1500</v>
      </c>
      <c r="I435" s="3088">
        <v>1500</v>
      </c>
      <c r="J435" s="3123">
        <v>1500</v>
      </c>
      <c r="K435" s="3131">
        <v>0</v>
      </c>
      <c r="L435" s="3236">
        <v>0</v>
      </c>
      <c r="M435" s="89"/>
      <c r="N435" s="20"/>
      <c r="O435" s="73"/>
      <c r="P435" s="65"/>
      <c r="Q435" s="73"/>
      <c r="R435" s="16"/>
    </row>
    <row r="436" spans="1:18" s="34" customFormat="1" ht="13.5" hidden="1" thickBot="1" x14ac:dyDescent="0.25">
      <c r="A436" s="2447"/>
      <c r="B436" s="2448"/>
      <c r="C436" s="2449"/>
      <c r="D436" s="2450"/>
      <c r="E436" s="19"/>
      <c r="F436" s="2451"/>
      <c r="G436" s="19"/>
      <c r="H436" s="1447"/>
      <c r="I436" s="1447"/>
      <c r="J436" s="2452"/>
      <c r="K436" s="90"/>
      <c r="L436" s="1679"/>
      <c r="M436" s="90"/>
      <c r="N436" s="20"/>
      <c r="O436" s="20"/>
      <c r="P436" s="20"/>
      <c r="Q436" s="20"/>
      <c r="R436" s="16"/>
    </row>
    <row r="437" spans="1:18" s="139" customFormat="1" ht="12" thickBot="1" x14ac:dyDescent="0.25">
      <c r="A437" s="2453" t="s">
        <v>589</v>
      </c>
      <c r="B437" s="2454"/>
      <c r="C437" s="2454"/>
      <c r="D437" s="2411">
        <f t="shared" ref="D437:L437" si="55">D438+D503</f>
        <v>717837</v>
      </c>
      <c r="E437" s="2455">
        <f t="shared" si="55"/>
        <v>792328.24</v>
      </c>
      <c r="F437" s="2442">
        <f t="shared" si="55"/>
        <v>956642.95</v>
      </c>
      <c r="G437" s="2455">
        <f t="shared" si="55"/>
        <v>1009210</v>
      </c>
      <c r="H437" s="2415">
        <f t="shared" si="55"/>
        <v>1010450</v>
      </c>
      <c r="I437" s="2416">
        <f>I438+I503</f>
        <v>952617</v>
      </c>
      <c r="J437" s="2371">
        <f>J438+J503</f>
        <v>982394</v>
      </c>
      <c r="K437" s="2418">
        <f t="shared" si="55"/>
        <v>1043523</v>
      </c>
      <c r="L437" s="2444">
        <f t="shared" si="55"/>
        <v>1043523</v>
      </c>
      <c r="M437" s="602"/>
      <c r="N437" s="595"/>
      <c r="O437" s="530"/>
      <c r="P437" s="530"/>
      <c r="Q437" s="530"/>
    </row>
    <row r="438" spans="1:18" s="139" customFormat="1" ht="12" thickBot="1" x14ac:dyDescent="0.25">
      <c r="A438" s="2456" t="s">
        <v>162</v>
      </c>
      <c r="B438" s="2464"/>
      <c r="C438" s="2465"/>
      <c r="D438" s="2466">
        <f t="shared" ref="D438:L438" si="56">D439+D454</f>
        <v>530846</v>
      </c>
      <c r="E438" s="2467">
        <f t="shared" si="56"/>
        <v>590110.61</v>
      </c>
      <c r="F438" s="2468">
        <f t="shared" si="56"/>
        <v>728117.40999999992</v>
      </c>
      <c r="G438" s="2467">
        <f t="shared" si="56"/>
        <v>744716</v>
      </c>
      <c r="H438" s="2469">
        <f t="shared" si="56"/>
        <v>745956</v>
      </c>
      <c r="I438" s="2470">
        <f>I439+I454</f>
        <v>691319</v>
      </c>
      <c r="J438" s="2471">
        <f>J439+J454</f>
        <v>714798</v>
      </c>
      <c r="K438" s="2472">
        <f t="shared" si="56"/>
        <v>763303</v>
      </c>
      <c r="L438" s="2473">
        <f t="shared" si="56"/>
        <v>763303</v>
      </c>
      <c r="M438" s="602"/>
      <c r="N438" s="595"/>
      <c r="O438" s="530"/>
      <c r="P438" s="530"/>
      <c r="Q438" s="530"/>
    </row>
    <row r="439" spans="1:18" s="139" customFormat="1" ht="11.25" x14ac:dyDescent="0.2">
      <c r="A439" s="3792">
        <v>610.62</v>
      </c>
      <c r="B439" s="3793"/>
      <c r="C439" s="2457" t="s">
        <v>732</v>
      </c>
      <c r="D439" s="2458">
        <f>SUM(D440:D451)</f>
        <v>445648</v>
      </c>
      <c r="E439" s="2459">
        <v>526619.24</v>
      </c>
      <c r="F439" s="2460">
        <v>659320.44999999995</v>
      </c>
      <c r="G439" s="2459">
        <f>SUM(G440:G451)+G452+G453</f>
        <v>681259</v>
      </c>
      <c r="H439" s="2990">
        <f>SUM(H440:H447)+H448+H449+H450+H451</f>
        <v>682499</v>
      </c>
      <c r="I439" s="3089">
        <f>SUM(I440:I447)+I448+I449+I450+I451+I452</f>
        <v>634953</v>
      </c>
      <c r="J439" s="2461">
        <f>SUM(J440:J447)+J448+J449+J450+J451+J452</f>
        <v>644413</v>
      </c>
      <c r="K439" s="2462">
        <f>SUM(K440:K447)+K448+K449+K450+K451</f>
        <v>688281</v>
      </c>
      <c r="L439" s="2463">
        <f>SUM(L440:L447)+L448+L449+L450+L451</f>
        <v>688281</v>
      </c>
      <c r="M439" s="602"/>
      <c r="N439" s="595"/>
      <c r="O439" s="530"/>
      <c r="P439" s="530"/>
      <c r="Q439" s="530"/>
    </row>
    <row r="440" spans="1:18" x14ac:dyDescent="0.2">
      <c r="A440" s="3785" t="s">
        <v>726</v>
      </c>
      <c r="B440" s="1663">
        <v>610</v>
      </c>
      <c r="C440" s="2194" t="s">
        <v>449</v>
      </c>
      <c r="D440" s="1641">
        <v>113620</v>
      </c>
      <c r="E440" s="1516"/>
      <c r="F440" s="1641"/>
      <c r="G440" s="2865">
        <v>182282</v>
      </c>
      <c r="H440" s="2865">
        <v>183522</v>
      </c>
      <c r="I440" s="2322">
        <v>179093</v>
      </c>
      <c r="J440" s="3123">
        <v>191630</v>
      </c>
      <c r="K440" s="2082">
        <v>205044</v>
      </c>
      <c r="L440" s="1684">
        <v>205044</v>
      </c>
      <c r="M440" s="89"/>
      <c r="N440" s="60"/>
      <c r="O440" s="73"/>
      <c r="P440" s="65"/>
      <c r="Q440" s="65"/>
    </row>
    <row r="441" spans="1:18" x14ac:dyDescent="0.2">
      <c r="A441" s="3769"/>
      <c r="B441" s="1646">
        <v>620</v>
      </c>
      <c r="C441" s="2195" t="s">
        <v>194</v>
      </c>
      <c r="D441" s="1641">
        <v>40536</v>
      </c>
      <c r="E441" s="1683"/>
      <c r="F441" s="1641"/>
      <c r="G441" s="2864">
        <v>62924</v>
      </c>
      <c r="H441" s="2864">
        <v>62924</v>
      </c>
      <c r="I441" s="2322">
        <v>60875</v>
      </c>
      <c r="J441" s="3123">
        <v>65137</v>
      </c>
      <c r="K441" s="2062">
        <v>69697</v>
      </c>
      <c r="L441" s="1436">
        <v>69697</v>
      </c>
      <c r="M441" s="89"/>
      <c r="N441" s="60"/>
      <c r="O441" s="73"/>
      <c r="P441" s="65"/>
      <c r="Q441" s="65"/>
    </row>
    <row r="442" spans="1:18" x14ac:dyDescent="0.2">
      <c r="A442" s="3769" t="s">
        <v>727</v>
      </c>
      <c r="B442" s="1646">
        <v>610</v>
      </c>
      <c r="C442" s="2196" t="s">
        <v>449</v>
      </c>
      <c r="D442" s="1641">
        <v>168048</v>
      </c>
      <c r="E442" s="1683"/>
      <c r="F442" s="1641"/>
      <c r="G442" s="2864">
        <v>220233</v>
      </c>
      <c r="H442" s="2864">
        <v>220233</v>
      </c>
      <c r="I442" s="2322">
        <v>190770</v>
      </c>
      <c r="J442" s="3123">
        <v>204124</v>
      </c>
      <c r="K442" s="2062">
        <v>218413</v>
      </c>
      <c r="L442" s="1436">
        <v>218413</v>
      </c>
      <c r="M442" s="89"/>
      <c r="N442" s="60"/>
      <c r="O442" s="73"/>
      <c r="P442" s="65"/>
      <c r="Q442" s="65"/>
    </row>
    <row r="443" spans="1:18" x14ac:dyDescent="0.2">
      <c r="A443" s="3789"/>
      <c r="B443" s="1646">
        <v>620</v>
      </c>
      <c r="C443" s="2195" t="s">
        <v>194</v>
      </c>
      <c r="D443" s="1641">
        <v>58728</v>
      </c>
      <c r="E443" s="1683"/>
      <c r="F443" s="1641"/>
      <c r="G443" s="2864">
        <v>73714</v>
      </c>
      <c r="H443" s="2864">
        <v>73714</v>
      </c>
      <c r="I443" s="2322">
        <v>65689</v>
      </c>
      <c r="J443" s="3123">
        <v>70288</v>
      </c>
      <c r="K443" s="2062">
        <v>75209</v>
      </c>
      <c r="L443" s="1436">
        <v>75209</v>
      </c>
      <c r="M443" s="89"/>
      <c r="N443" s="60"/>
      <c r="O443" s="73"/>
      <c r="P443" s="65"/>
      <c r="Q443" s="65"/>
    </row>
    <row r="444" spans="1:18" x14ac:dyDescent="0.2">
      <c r="A444" s="3789" t="s">
        <v>394</v>
      </c>
      <c r="B444" s="1702">
        <v>610</v>
      </c>
      <c r="C444" s="2196" t="s">
        <v>449</v>
      </c>
      <c r="D444" s="1641">
        <v>18420</v>
      </c>
      <c r="E444" s="1683"/>
      <c r="F444" s="1641"/>
      <c r="G444" s="2864">
        <v>25735</v>
      </c>
      <c r="H444" s="2864">
        <v>25735</v>
      </c>
      <c r="I444" s="2322">
        <v>25008</v>
      </c>
      <c r="J444" s="3123">
        <v>26759</v>
      </c>
      <c r="K444" s="2062">
        <v>28633</v>
      </c>
      <c r="L444" s="1436">
        <v>28633</v>
      </c>
      <c r="M444" s="89"/>
      <c r="N444" s="60"/>
      <c r="O444" s="73"/>
      <c r="P444" s="65"/>
      <c r="Q444" s="65"/>
    </row>
    <row r="445" spans="1:18" x14ac:dyDescent="0.2">
      <c r="A445" s="3785"/>
      <c r="B445" s="1702">
        <v>620</v>
      </c>
      <c r="C445" s="2195" t="s">
        <v>194</v>
      </c>
      <c r="D445" s="1641">
        <v>7032</v>
      </c>
      <c r="E445" s="1683"/>
      <c r="F445" s="1641"/>
      <c r="G445" s="2864">
        <v>8994</v>
      </c>
      <c r="H445" s="2864">
        <v>8994</v>
      </c>
      <c r="I445" s="2322">
        <v>8725</v>
      </c>
      <c r="J445" s="3123">
        <v>9336</v>
      </c>
      <c r="K445" s="2062">
        <v>9990</v>
      </c>
      <c r="L445" s="1436">
        <v>9990</v>
      </c>
      <c r="M445" s="89"/>
      <c r="N445" s="60"/>
      <c r="O445" s="73"/>
      <c r="P445" s="65"/>
      <c r="Q445" s="65"/>
    </row>
    <row r="446" spans="1:18" x14ac:dyDescent="0.2">
      <c r="A446" s="3785" t="s">
        <v>728</v>
      </c>
      <c r="B446" s="1646">
        <v>610</v>
      </c>
      <c r="C446" s="2196" t="s">
        <v>449</v>
      </c>
      <c r="D446" s="1641">
        <v>29112</v>
      </c>
      <c r="E446" s="1683"/>
      <c r="F446" s="1641"/>
      <c r="G446" s="2864">
        <v>44622</v>
      </c>
      <c r="H446" s="2864">
        <v>44622</v>
      </c>
      <c r="I446" s="2322">
        <v>41353</v>
      </c>
      <c r="J446" s="3123">
        <v>44248</v>
      </c>
      <c r="K446" s="2062">
        <v>47346</v>
      </c>
      <c r="L446" s="1436">
        <v>47346</v>
      </c>
      <c r="M446" s="89"/>
      <c r="N446" s="1703"/>
      <c r="O446" s="73"/>
      <c r="P446" s="65"/>
      <c r="Q446" s="65"/>
    </row>
    <row r="447" spans="1:18" x14ac:dyDescent="0.2">
      <c r="A447" s="3769"/>
      <c r="B447" s="1646">
        <v>620</v>
      </c>
      <c r="C447" s="2195" t="s">
        <v>194</v>
      </c>
      <c r="D447" s="1641">
        <v>10152</v>
      </c>
      <c r="E447" s="1683"/>
      <c r="F447" s="1641"/>
      <c r="G447" s="2864">
        <v>15276</v>
      </c>
      <c r="H447" s="2864">
        <v>15276</v>
      </c>
      <c r="I447" s="2322">
        <v>14126</v>
      </c>
      <c r="J447" s="3123">
        <v>15115</v>
      </c>
      <c r="K447" s="2062">
        <v>16173</v>
      </c>
      <c r="L447" s="1436">
        <v>16173</v>
      </c>
      <c r="M447" s="89"/>
      <c r="N447" s="60"/>
      <c r="O447" s="73"/>
      <c r="P447" s="65"/>
      <c r="Q447" s="65"/>
    </row>
    <row r="448" spans="1:18" x14ac:dyDescent="0.2">
      <c r="A448" s="3790" t="s">
        <v>791</v>
      </c>
      <c r="B448" s="1646">
        <v>610</v>
      </c>
      <c r="C448" s="2196" t="s">
        <v>449</v>
      </c>
      <c r="D448" s="1641"/>
      <c r="E448" s="1683"/>
      <c r="F448" s="1641"/>
      <c r="G448" s="2864">
        <v>22908</v>
      </c>
      <c r="H448" s="2864">
        <v>22908</v>
      </c>
      <c r="I448" s="2322">
        <v>21152</v>
      </c>
      <c r="J448" s="3123">
        <v>0</v>
      </c>
      <c r="K448" s="2288">
        <v>0</v>
      </c>
      <c r="L448" s="1494">
        <v>0</v>
      </c>
      <c r="M448" s="89"/>
      <c r="N448" s="60"/>
      <c r="O448" s="73"/>
      <c r="P448" s="65"/>
      <c r="Q448" s="65"/>
    </row>
    <row r="449" spans="1:17" x14ac:dyDescent="0.2">
      <c r="A449" s="3791"/>
      <c r="B449" s="1646">
        <v>620</v>
      </c>
      <c r="C449" s="2195" t="s">
        <v>194</v>
      </c>
      <c r="D449" s="1641"/>
      <c r="E449" s="1683"/>
      <c r="F449" s="1641"/>
      <c r="G449" s="2864">
        <v>7635</v>
      </c>
      <c r="H449" s="2864">
        <v>7635</v>
      </c>
      <c r="I449" s="2322">
        <v>7013</v>
      </c>
      <c r="J449" s="3123">
        <v>0</v>
      </c>
      <c r="K449" s="2288">
        <v>0</v>
      </c>
      <c r="L449" s="1494">
        <v>0</v>
      </c>
      <c r="M449" s="89"/>
      <c r="N449" s="60"/>
      <c r="O449" s="73"/>
      <c r="P449" s="65"/>
      <c r="Q449" s="65"/>
    </row>
    <row r="450" spans="1:17" x14ac:dyDescent="0.2">
      <c r="A450" s="3794" t="s">
        <v>861</v>
      </c>
      <c r="B450" s="1646">
        <v>637</v>
      </c>
      <c r="C450" s="2195" t="s">
        <v>834</v>
      </c>
      <c r="D450" s="1641"/>
      <c r="E450" s="1683"/>
      <c r="F450" s="1641"/>
      <c r="G450" s="2864">
        <v>12550</v>
      </c>
      <c r="H450" s="2864">
        <v>12550</v>
      </c>
      <c r="I450" s="2322">
        <v>13172</v>
      </c>
      <c r="J450" s="3123">
        <v>13172</v>
      </c>
      <c r="K450" s="2062">
        <v>13172</v>
      </c>
      <c r="L450" s="1436">
        <v>13172</v>
      </c>
      <c r="M450" s="89"/>
      <c r="N450" s="60"/>
      <c r="O450" s="73"/>
      <c r="P450" s="65"/>
      <c r="Q450" s="65"/>
    </row>
    <row r="451" spans="1:17" x14ac:dyDescent="0.2">
      <c r="A451" s="3794"/>
      <c r="B451" s="1646">
        <v>620</v>
      </c>
      <c r="C451" s="2195" t="s">
        <v>194</v>
      </c>
      <c r="D451" s="1641"/>
      <c r="E451" s="2090"/>
      <c r="F451" s="1641"/>
      <c r="G451" s="2881">
        <v>4386</v>
      </c>
      <c r="H451" s="2881">
        <v>4386</v>
      </c>
      <c r="I451" s="2322">
        <v>4604</v>
      </c>
      <c r="J451" s="3123">
        <v>4604</v>
      </c>
      <c r="K451" s="2064">
        <v>4604</v>
      </c>
      <c r="L451" s="2091">
        <v>4604</v>
      </c>
      <c r="M451" s="89"/>
      <c r="N451" s="60"/>
      <c r="O451" s="73"/>
      <c r="P451" s="65"/>
      <c r="Q451" s="65"/>
    </row>
    <row r="452" spans="1:17" x14ac:dyDescent="0.2">
      <c r="A452" s="1695">
        <v>610</v>
      </c>
      <c r="B452" s="1696">
        <v>620</v>
      </c>
      <c r="C452" s="2203" t="s">
        <v>848</v>
      </c>
      <c r="D452" s="2209"/>
      <c r="E452" s="1880"/>
      <c r="F452" s="2209"/>
      <c r="G452" s="2866"/>
      <c r="H452" s="2866"/>
      <c r="I452" s="2322">
        <v>3373</v>
      </c>
      <c r="J452" s="3123">
        <v>0</v>
      </c>
      <c r="K452" s="2073"/>
      <c r="L452" s="1437"/>
      <c r="M452" s="89"/>
      <c r="N452" s="60"/>
      <c r="O452" s="73"/>
      <c r="P452" s="65"/>
      <c r="Q452" s="65"/>
    </row>
    <row r="453" spans="1:17" x14ac:dyDescent="0.2">
      <c r="A453" s="3804">
        <v>610.62</v>
      </c>
      <c r="B453" s="3804"/>
      <c r="C453" s="2197" t="s">
        <v>860</v>
      </c>
      <c r="D453" s="2213"/>
      <c r="E453" s="2154"/>
      <c r="F453" s="2213"/>
      <c r="G453" s="2882"/>
      <c r="H453" s="2882"/>
      <c r="I453" s="2322"/>
      <c r="J453" s="3123"/>
      <c r="K453" s="2155"/>
      <c r="L453" s="2156"/>
      <c r="M453" s="89"/>
      <c r="N453" s="60"/>
      <c r="O453" s="73"/>
      <c r="P453" s="65"/>
      <c r="Q453" s="65"/>
    </row>
    <row r="454" spans="1:17" x14ac:dyDescent="0.2">
      <c r="A454" s="2226"/>
      <c r="B454" s="2226" t="s">
        <v>586</v>
      </c>
      <c r="C454" s="2198" t="s">
        <v>363</v>
      </c>
      <c r="D454" s="1655">
        <f>D455+D456+D466+D468+D472+D482</f>
        <v>85198</v>
      </c>
      <c r="E454" s="1657">
        <f>E455+E456+E466+E468+E472+E482</f>
        <v>63491.37</v>
      </c>
      <c r="F454" s="1656">
        <f>F455+F456+F468+F472+F466+F482</f>
        <v>68796.960000000006</v>
      </c>
      <c r="G454" s="1657">
        <f>G455+G456+G466+G468+G472+G482</f>
        <v>63457</v>
      </c>
      <c r="H454" s="2885">
        <f>H455+H456+H468+H472+H466+H482</f>
        <v>63457</v>
      </c>
      <c r="I454" s="3081">
        <f>I455+I456+I468+I472+I466+I482</f>
        <v>56366</v>
      </c>
      <c r="J454" s="2446">
        <f>J455+J456+J468+J472+J466+J482</f>
        <v>70385</v>
      </c>
      <c r="K454" s="1658">
        <f>K455+K456+K468+K472+K482+K466</f>
        <v>75022</v>
      </c>
      <c r="L454" s="1664">
        <f>L455+L456+L468+L472+L482+L466</f>
        <v>75022</v>
      </c>
      <c r="M454" s="89"/>
      <c r="N454" s="60"/>
      <c r="O454" s="73"/>
      <c r="P454" s="65"/>
      <c r="Q454" s="65"/>
    </row>
    <row r="455" spans="1:17" x14ac:dyDescent="0.2">
      <c r="A455" s="3809">
        <v>632</v>
      </c>
      <c r="B455" s="3810"/>
      <c r="C455" s="2199" t="s">
        <v>453</v>
      </c>
      <c r="D455" s="1873">
        <v>22041</v>
      </c>
      <c r="E455" s="1876">
        <v>10014</v>
      </c>
      <c r="F455" s="1873">
        <v>12015</v>
      </c>
      <c r="G455" s="1876">
        <v>13992</v>
      </c>
      <c r="H455" s="2984">
        <v>13992</v>
      </c>
      <c r="I455" s="3083">
        <v>11922</v>
      </c>
      <c r="J455" s="2446">
        <v>21887</v>
      </c>
      <c r="K455" s="2086">
        <v>24076</v>
      </c>
      <c r="L455" s="1664">
        <v>24076</v>
      </c>
      <c r="M455" s="89"/>
      <c r="N455" s="60"/>
      <c r="O455" s="73"/>
      <c r="P455" s="65"/>
      <c r="Q455" s="65"/>
    </row>
    <row r="456" spans="1:17" x14ac:dyDescent="0.2">
      <c r="A456" s="3773">
        <v>633</v>
      </c>
      <c r="B456" s="3774"/>
      <c r="C456" s="2200" t="s">
        <v>455</v>
      </c>
      <c r="D456" s="2097">
        <f t="shared" ref="D456:L456" si="57">SUM(D457:D465)</f>
        <v>19167</v>
      </c>
      <c r="E456" s="1876">
        <v>13887</v>
      </c>
      <c r="F456" s="1873">
        <v>30508</v>
      </c>
      <c r="G456" s="1876">
        <f t="shared" si="57"/>
        <v>15670</v>
      </c>
      <c r="H456" s="2984">
        <f t="shared" si="57"/>
        <v>15670</v>
      </c>
      <c r="I456" s="3083">
        <f>SUM(I457:I465)</f>
        <v>9480</v>
      </c>
      <c r="J456" s="2446">
        <f>SUM(J457:J465)</f>
        <v>10856</v>
      </c>
      <c r="K456" s="1658">
        <f t="shared" si="57"/>
        <v>11941</v>
      </c>
      <c r="L456" s="1664">
        <f t="shared" si="57"/>
        <v>11941</v>
      </c>
      <c r="M456" s="89"/>
      <c r="N456" s="60"/>
      <c r="O456" s="73"/>
      <c r="P456" s="65"/>
      <c r="Q456" s="65"/>
    </row>
    <row r="457" spans="1:17" x14ac:dyDescent="0.2">
      <c r="A457" s="1645">
        <v>633</v>
      </c>
      <c r="B457" s="556" t="s">
        <v>94</v>
      </c>
      <c r="C457" s="711" t="s">
        <v>456</v>
      </c>
      <c r="D457" s="1641">
        <v>0</v>
      </c>
      <c r="E457" s="1683">
        <v>0</v>
      </c>
      <c r="F457" s="1641"/>
      <c r="G457" s="2864">
        <v>0</v>
      </c>
      <c r="H457" s="2864">
        <v>0</v>
      </c>
      <c r="I457" s="2322">
        <v>0</v>
      </c>
      <c r="J457" s="3123">
        <v>0</v>
      </c>
      <c r="K457" s="2062">
        <v>0</v>
      </c>
      <c r="L457" s="1436">
        <v>0</v>
      </c>
      <c r="M457" s="89"/>
      <c r="N457" s="60"/>
      <c r="O457" s="73"/>
      <c r="P457" s="65"/>
      <c r="Q457" s="65"/>
    </row>
    <row r="458" spans="1:17" x14ac:dyDescent="0.2">
      <c r="A458" s="718">
        <v>633</v>
      </c>
      <c r="B458" s="557" t="s">
        <v>97</v>
      </c>
      <c r="C458" s="2201" t="s">
        <v>457</v>
      </c>
      <c r="D458" s="1641">
        <v>0</v>
      </c>
      <c r="E458" s="1683">
        <v>0</v>
      </c>
      <c r="F458" s="1641"/>
      <c r="G458" s="2864">
        <v>0</v>
      </c>
      <c r="H458" s="2864">
        <v>0</v>
      </c>
      <c r="I458" s="2322">
        <v>0</v>
      </c>
      <c r="J458" s="3123">
        <v>0</v>
      </c>
      <c r="K458" s="2062">
        <v>0</v>
      </c>
      <c r="L458" s="1436">
        <v>0</v>
      </c>
      <c r="M458" s="89"/>
      <c r="N458" s="60"/>
      <c r="O458" s="73"/>
      <c r="P458" s="65"/>
      <c r="Q458" s="65"/>
    </row>
    <row r="459" spans="1:17" x14ac:dyDescent="0.2">
      <c r="A459" s="718">
        <v>633</v>
      </c>
      <c r="B459" s="557" t="s">
        <v>120</v>
      </c>
      <c r="C459" s="2201" t="s">
        <v>458</v>
      </c>
      <c r="D459" s="1641">
        <v>0</v>
      </c>
      <c r="E459" s="1683"/>
      <c r="F459" s="1641"/>
      <c r="G459" s="2864"/>
      <c r="H459" s="2864"/>
      <c r="I459" s="2322"/>
      <c r="J459" s="3123"/>
      <c r="K459" s="2062"/>
      <c r="L459" s="1436"/>
      <c r="M459" s="89"/>
      <c r="N459" s="60"/>
      <c r="O459" s="73"/>
      <c r="P459" s="65"/>
      <c r="Q459" s="65"/>
    </row>
    <row r="460" spans="1:17" x14ac:dyDescent="0.2">
      <c r="A460" s="718">
        <v>633</v>
      </c>
      <c r="B460" s="43" t="s">
        <v>125</v>
      </c>
      <c r="C460" s="2201" t="s">
        <v>460</v>
      </c>
      <c r="D460" s="1641">
        <v>5830</v>
      </c>
      <c r="E460" s="1683"/>
      <c r="F460" s="1641"/>
      <c r="G460" s="2864">
        <v>8680</v>
      </c>
      <c r="H460" s="2864">
        <v>8680</v>
      </c>
      <c r="I460" s="2322">
        <v>4253</v>
      </c>
      <c r="J460" s="3123">
        <v>4679</v>
      </c>
      <c r="K460" s="2062">
        <v>5147</v>
      </c>
      <c r="L460" s="1436">
        <v>5147</v>
      </c>
      <c r="M460" s="89"/>
      <c r="N460" s="60"/>
      <c r="O460" s="73"/>
      <c r="P460" s="65"/>
      <c r="Q460" s="65"/>
    </row>
    <row r="461" spans="1:17" x14ac:dyDescent="0.2">
      <c r="A461" s="1787" t="s">
        <v>199</v>
      </c>
      <c r="B461" s="1702" t="s">
        <v>125</v>
      </c>
      <c r="C461" s="2195" t="s">
        <v>746</v>
      </c>
      <c r="D461" s="1641">
        <v>5268</v>
      </c>
      <c r="E461" s="1683"/>
      <c r="F461" s="1641"/>
      <c r="G461" s="2864">
        <v>0</v>
      </c>
      <c r="H461" s="2864">
        <v>0</v>
      </c>
      <c r="I461" s="2322">
        <v>0</v>
      </c>
      <c r="J461" s="3123">
        <v>0</v>
      </c>
      <c r="K461" s="2288">
        <v>0</v>
      </c>
      <c r="L461" s="1436">
        <v>0</v>
      </c>
      <c r="M461" s="89"/>
      <c r="N461" s="60"/>
      <c r="O461" s="73"/>
      <c r="P461" s="65"/>
      <c r="Q461" s="65"/>
    </row>
    <row r="462" spans="1:17" x14ac:dyDescent="0.2">
      <c r="A462" s="718">
        <v>633</v>
      </c>
      <c r="B462" s="43" t="s">
        <v>461</v>
      </c>
      <c r="C462" s="2201" t="s">
        <v>793</v>
      </c>
      <c r="D462" s="1641">
        <v>7823</v>
      </c>
      <c r="E462" s="1683"/>
      <c r="F462" s="1641"/>
      <c r="G462" s="2858">
        <v>5464</v>
      </c>
      <c r="H462" s="2858">
        <v>5464</v>
      </c>
      <c r="I462" s="2322">
        <v>4262</v>
      </c>
      <c r="J462" s="3123">
        <v>5115</v>
      </c>
      <c r="K462" s="2062">
        <v>5626</v>
      </c>
      <c r="L462" s="2307">
        <v>5626</v>
      </c>
      <c r="M462" s="89"/>
      <c r="N462" s="60"/>
      <c r="O462" s="73"/>
      <c r="P462" s="65"/>
      <c r="Q462" s="65"/>
    </row>
    <row r="463" spans="1:17" x14ac:dyDescent="0.2">
      <c r="A463" s="718">
        <v>633</v>
      </c>
      <c r="B463" s="43" t="s">
        <v>463</v>
      </c>
      <c r="C463" s="2201" t="s">
        <v>464</v>
      </c>
      <c r="D463" s="1641">
        <v>0</v>
      </c>
      <c r="E463" s="1683"/>
      <c r="F463" s="1641"/>
      <c r="G463" s="2864"/>
      <c r="H463" s="2864"/>
      <c r="I463" s="2322"/>
      <c r="J463" s="3123"/>
      <c r="K463" s="2062"/>
      <c r="L463" s="1436"/>
      <c r="M463" s="89"/>
      <c r="N463" s="60"/>
      <c r="O463" s="73"/>
      <c r="P463" s="65"/>
      <c r="Q463" s="65"/>
    </row>
    <row r="464" spans="1:17" x14ac:dyDescent="0.2">
      <c r="A464" s="718">
        <v>633</v>
      </c>
      <c r="B464" s="43" t="s">
        <v>465</v>
      </c>
      <c r="C464" s="2201" t="s">
        <v>469</v>
      </c>
      <c r="D464" s="1641">
        <v>0</v>
      </c>
      <c r="E464" s="1683"/>
      <c r="F464" s="1641"/>
      <c r="G464" s="2864">
        <v>0</v>
      </c>
      <c r="H464" s="2864">
        <v>0</v>
      </c>
      <c r="I464" s="2322">
        <v>0</v>
      </c>
      <c r="J464" s="3123">
        <v>0</v>
      </c>
      <c r="K464" s="2289">
        <v>0</v>
      </c>
      <c r="L464" s="1436">
        <v>0</v>
      </c>
      <c r="M464" s="89"/>
      <c r="N464" s="60"/>
      <c r="O464" s="73"/>
      <c r="P464" s="65"/>
      <c r="Q464" s="65"/>
    </row>
    <row r="465" spans="1:18" x14ac:dyDescent="0.2">
      <c r="A465" s="718">
        <v>633</v>
      </c>
      <c r="B465" s="43" t="s">
        <v>103</v>
      </c>
      <c r="C465" s="2201" t="s">
        <v>467</v>
      </c>
      <c r="D465" s="1641">
        <v>246</v>
      </c>
      <c r="E465" s="1683"/>
      <c r="F465" s="1641"/>
      <c r="G465" s="2864">
        <v>1526</v>
      </c>
      <c r="H465" s="2864">
        <v>1526</v>
      </c>
      <c r="I465" s="2322">
        <v>965</v>
      </c>
      <c r="J465" s="3123">
        <v>1062</v>
      </c>
      <c r="K465" s="2062">
        <v>1168</v>
      </c>
      <c r="L465" s="1436">
        <v>1168</v>
      </c>
      <c r="M465" s="89"/>
      <c r="N465" s="60"/>
      <c r="O465" s="73"/>
      <c r="P465" s="65"/>
      <c r="Q465" s="65"/>
    </row>
    <row r="466" spans="1:18" x14ac:dyDescent="0.2">
      <c r="A466" s="3783">
        <v>634</v>
      </c>
      <c r="B466" s="3784"/>
      <c r="C466" s="2200" t="s">
        <v>470</v>
      </c>
      <c r="D466" s="2097">
        <f t="shared" ref="D466:L466" si="58">D467</f>
        <v>0</v>
      </c>
      <c r="E466" s="1876">
        <f t="shared" si="58"/>
        <v>3240</v>
      </c>
      <c r="F466" s="1873">
        <f t="shared" si="58"/>
        <v>0</v>
      </c>
      <c r="G466" s="1876">
        <f t="shared" si="58"/>
        <v>0</v>
      </c>
      <c r="H466" s="2984">
        <f t="shared" si="58"/>
        <v>0</v>
      </c>
      <c r="I466" s="2322">
        <f t="shared" si="58"/>
        <v>0</v>
      </c>
      <c r="J466" s="3123">
        <f t="shared" si="58"/>
        <v>0</v>
      </c>
      <c r="K466" s="1661">
        <f t="shared" si="58"/>
        <v>0</v>
      </c>
      <c r="L466" s="1665">
        <f t="shared" si="58"/>
        <v>0</v>
      </c>
      <c r="M466" s="89"/>
      <c r="N466" s="60"/>
      <c r="O466" s="73"/>
      <c r="P466" s="65"/>
      <c r="Q466" s="65"/>
    </row>
    <row r="467" spans="1:18" x14ac:dyDescent="0.2">
      <c r="A467" s="718">
        <v>634</v>
      </c>
      <c r="B467" s="43" t="s">
        <v>111</v>
      </c>
      <c r="C467" s="2201" t="s">
        <v>475</v>
      </c>
      <c r="D467" s="1418">
        <v>0</v>
      </c>
      <c r="E467" s="1683">
        <v>3240</v>
      </c>
      <c r="F467" s="1641">
        <v>0</v>
      </c>
      <c r="G467" s="1683">
        <v>0</v>
      </c>
      <c r="H467" s="2864">
        <v>0</v>
      </c>
      <c r="I467" s="2322">
        <v>0</v>
      </c>
      <c r="J467" s="3123">
        <v>0</v>
      </c>
      <c r="K467" s="1357">
        <v>0</v>
      </c>
      <c r="L467" s="1436">
        <v>0</v>
      </c>
      <c r="M467" s="89"/>
      <c r="N467" s="60"/>
      <c r="O467" s="73"/>
      <c r="P467" s="65"/>
      <c r="Q467" s="65"/>
    </row>
    <row r="468" spans="1:18" x14ac:dyDescent="0.2">
      <c r="A468" s="3783">
        <v>635</v>
      </c>
      <c r="B468" s="3784"/>
      <c r="C468" s="2200" t="s">
        <v>477</v>
      </c>
      <c r="D468" s="2097">
        <f>D469</f>
        <v>0</v>
      </c>
      <c r="E468" s="1876">
        <f t="shared" ref="E468:K468" si="59">SUM(E469:E471)</f>
        <v>0</v>
      </c>
      <c r="F468" s="1873">
        <f t="shared" si="59"/>
        <v>0</v>
      </c>
      <c r="G468" s="1876">
        <f t="shared" si="59"/>
        <v>0</v>
      </c>
      <c r="H468" s="2984">
        <f t="shared" si="59"/>
        <v>0</v>
      </c>
      <c r="I468" s="2322">
        <f>SUM(I469:I471)</f>
        <v>0</v>
      </c>
      <c r="J468" s="3123">
        <f>SUM(J469:J471)</f>
        <v>0</v>
      </c>
      <c r="K468" s="1658">
        <f t="shared" si="59"/>
        <v>0</v>
      </c>
      <c r="L468" s="1664">
        <f>L469+L470+L471</f>
        <v>0</v>
      </c>
      <c r="M468" s="89"/>
      <c r="N468" s="60"/>
      <c r="O468" s="73"/>
      <c r="P468" s="65"/>
      <c r="Q468" s="65"/>
      <c r="R468" s="19"/>
    </row>
    <row r="469" spans="1:18" x14ac:dyDescent="0.2">
      <c r="A469" s="1675">
        <v>635</v>
      </c>
      <c r="B469" s="566" t="s">
        <v>97</v>
      </c>
      <c r="C469" s="2201" t="s">
        <v>478</v>
      </c>
      <c r="D469" s="1641">
        <v>0</v>
      </c>
      <c r="E469" s="1683">
        <v>0</v>
      </c>
      <c r="F469" s="1641">
        <v>0</v>
      </c>
      <c r="G469" s="1683">
        <v>0</v>
      </c>
      <c r="H469" s="2864">
        <v>0</v>
      </c>
      <c r="I469" s="2322">
        <v>0</v>
      </c>
      <c r="J469" s="3123">
        <v>0</v>
      </c>
      <c r="K469" s="2062">
        <v>0</v>
      </c>
      <c r="L469" s="1436">
        <v>0</v>
      </c>
      <c r="M469" s="89"/>
      <c r="N469" s="60"/>
      <c r="O469" s="73"/>
      <c r="P469" s="65"/>
      <c r="Q469" s="65"/>
    </row>
    <row r="470" spans="1:18" x14ac:dyDescent="0.2">
      <c r="A470" s="718">
        <v>635</v>
      </c>
      <c r="B470" s="43" t="s">
        <v>111</v>
      </c>
      <c r="C470" s="2201" t="s">
        <v>479</v>
      </c>
      <c r="D470" s="1641">
        <v>0</v>
      </c>
      <c r="E470" s="1683">
        <v>0</v>
      </c>
      <c r="F470" s="1641">
        <v>0</v>
      </c>
      <c r="G470" s="1683">
        <v>0</v>
      </c>
      <c r="H470" s="2864">
        <v>0</v>
      </c>
      <c r="I470" s="2322">
        <v>0</v>
      </c>
      <c r="J470" s="3123">
        <v>0</v>
      </c>
      <c r="K470" s="2062">
        <v>0</v>
      </c>
      <c r="L470" s="1436">
        <v>0</v>
      </c>
      <c r="M470" s="89"/>
      <c r="N470" s="60"/>
      <c r="O470" s="73"/>
      <c r="P470" s="65"/>
      <c r="Q470" s="65"/>
    </row>
    <row r="471" spans="1:18" x14ac:dyDescent="0.2">
      <c r="A471" s="719">
        <v>635</v>
      </c>
      <c r="B471" s="85" t="s">
        <v>125</v>
      </c>
      <c r="C471" s="2201" t="s">
        <v>480</v>
      </c>
      <c r="D471" s="1641">
        <v>0</v>
      </c>
      <c r="E471" s="1683">
        <v>0</v>
      </c>
      <c r="F471" s="1641">
        <v>0</v>
      </c>
      <c r="G471" s="1683">
        <v>0</v>
      </c>
      <c r="H471" s="2864">
        <v>0</v>
      </c>
      <c r="I471" s="2322">
        <v>0</v>
      </c>
      <c r="J471" s="3123">
        <v>0</v>
      </c>
      <c r="K471" s="2062">
        <v>0</v>
      </c>
      <c r="L471" s="1436">
        <v>0</v>
      </c>
      <c r="M471" s="89"/>
      <c r="N471" s="60"/>
      <c r="O471" s="73"/>
      <c r="P471" s="65"/>
      <c r="Q471" s="65"/>
      <c r="R471" s="19"/>
    </row>
    <row r="472" spans="1:18" x14ac:dyDescent="0.2">
      <c r="A472" s="3783">
        <v>637</v>
      </c>
      <c r="B472" s="3784"/>
      <c r="C472" s="2200" t="s">
        <v>483</v>
      </c>
      <c r="D472" s="2097">
        <f>SUM(D473:D481)</f>
        <v>16700</v>
      </c>
      <c r="E472" s="1876">
        <v>34459.94</v>
      </c>
      <c r="F472" s="1873">
        <v>20101.16</v>
      </c>
      <c r="G472" s="1876">
        <f t="shared" ref="G472:L472" si="60">SUM(G473:G481)</f>
        <v>15708</v>
      </c>
      <c r="H472" s="2984">
        <f t="shared" si="60"/>
        <v>15708</v>
      </c>
      <c r="I472" s="3090">
        <f t="shared" si="60"/>
        <v>12744</v>
      </c>
      <c r="J472" s="2446">
        <f>SUM(J473:J481)</f>
        <v>17292</v>
      </c>
      <c r="K472" s="1658">
        <f t="shared" si="60"/>
        <v>18887</v>
      </c>
      <c r="L472" s="1664">
        <f t="shared" si="60"/>
        <v>18887</v>
      </c>
      <c r="M472" s="89"/>
      <c r="N472" s="60"/>
      <c r="O472" s="73"/>
      <c r="P472" s="65"/>
      <c r="Q472" s="65"/>
    </row>
    <row r="473" spans="1:18" x14ac:dyDescent="0.2">
      <c r="A473" s="1675">
        <v>637</v>
      </c>
      <c r="B473" s="566" t="s">
        <v>94</v>
      </c>
      <c r="C473" s="2201" t="s">
        <v>484</v>
      </c>
      <c r="D473" s="1641">
        <v>0</v>
      </c>
      <c r="E473" s="1683"/>
      <c r="F473" s="1641"/>
      <c r="G473" s="2864"/>
      <c r="H473" s="2864"/>
      <c r="I473" s="2322"/>
      <c r="J473" s="3123"/>
      <c r="K473" s="2062"/>
      <c r="L473" s="1436"/>
      <c r="M473" s="89"/>
      <c r="N473" s="60"/>
      <c r="O473" s="73"/>
      <c r="P473" s="65"/>
      <c r="Q473" s="65"/>
    </row>
    <row r="474" spans="1:18" x14ac:dyDescent="0.2">
      <c r="A474" s="1676">
        <v>637</v>
      </c>
      <c r="B474" s="1067" t="s">
        <v>111</v>
      </c>
      <c r="C474" s="2201" t="s">
        <v>487</v>
      </c>
      <c r="D474" s="1641">
        <v>12350</v>
      </c>
      <c r="E474" s="1683"/>
      <c r="F474" s="1641"/>
      <c r="G474" s="2864">
        <v>9143</v>
      </c>
      <c r="H474" s="2864">
        <v>9143</v>
      </c>
      <c r="I474" s="2322">
        <v>8265</v>
      </c>
      <c r="J474" s="3123">
        <v>11571</v>
      </c>
      <c r="K474" s="2062">
        <v>12728</v>
      </c>
      <c r="L474" s="1436">
        <v>12728</v>
      </c>
      <c r="M474" s="89"/>
      <c r="N474" s="60"/>
      <c r="O474" s="73"/>
      <c r="P474" s="65"/>
      <c r="Q474" s="65"/>
    </row>
    <row r="475" spans="1:18" x14ac:dyDescent="0.2">
      <c r="A475" s="718">
        <v>637</v>
      </c>
      <c r="B475" s="43" t="s">
        <v>120</v>
      </c>
      <c r="C475" s="2201" t="s">
        <v>327</v>
      </c>
      <c r="D475" s="1641">
        <v>0</v>
      </c>
      <c r="E475" s="1683"/>
      <c r="F475" s="1641"/>
      <c r="G475" s="2864"/>
      <c r="H475" s="2864"/>
      <c r="I475" s="2322"/>
      <c r="J475" s="3123"/>
      <c r="K475" s="2062"/>
      <c r="L475" s="1436"/>
      <c r="M475" s="89"/>
      <c r="N475" s="60"/>
      <c r="O475" s="73"/>
      <c r="P475" s="65"/>
      <c r="Q475" s="65"/>
    </row>
    <row r="476" spans="1:18" x14ac:dyDescent="0.2">
      <c r="A476" s="718">
        <v>637</v>
      </c>
      <c r="B476" s="43" t="s">
        <v>102</v>
      </c>
      <c r="C476" s="2201" t="s">
        <v>488</v>
      </c>
      <c r="D476" s="1641"/>
      <c r="E476" s="1683"/>
      <c r="F476" s="1641"/>
      <c r="G476" s="2864"/>
      <c r="H476" s="2864"/>
      <c r="I476" s="2322"/>
      <c r="J476" s="3123"/>
      <c r="K476" s="2062"/>
      <c r="L476" s="1436"/>
      <c r="M476" s="89"/>
      <c r="N476" s="60"/>
      <c r="O476" s="73"/>
      <c r="P476" s="65"/>
      <c r="Q476" s="65"/>
    </row>
    <row r="477" spans="1:18" x14ac:dyDescent="0.2">
      <c r="A477" s="718">
        <v>637</v>
      </c>
      <c r="B477" s="43" t="s">
        <v>102</v>
      </c>
      <c r="C477" s="2201" t="s">
        <v>469</v>
      </c>
      <c r="D477" s="1641">
        <v>0</v>
      </c>
      <c r="E477" s="1683"/>
      <c r="F477" s="1641"/>
      <c r="G477" s="2864">
        <v>500</v>
      </c>
      <c r="H477" s="2864">
        <v>500</v>
      </c>
      <c r="I477" s="2322">
        <v>156</v>
      </c>
      <c r="J477" s="3123">
        <v>1000</v>
      </c>
      <c r="K477" s="2062">
        <v>1000</v>
      </c>
      <c r="L477" s="1436">
        <v>1000</v>
      </c>
      <c r="M477" s="89"/>
      <c r="N477" s="60"/>
      <c r="O477" s="73"/>
      <c r="P477" s="65"/>
      <c r="Q477" s="65"/>
    </row>
    <row r="478" spans="1:18" x14ac:dyDescent="0.2">
      <c r="A478" s="1675">
        <v>637</v>
      </c>
      <c r="B478" s="566" t="s">
        <v>105</v>
      </c>
      <c r="C478" s="2201" t="s">
        <v>489</v>
      </c>
      <c r="D478" s="1641">
        <v>3900</v>
      </c>
      <c r="E478" s="1683"/>
      <c r="F478" s="1641"/>
      <c r="G478" s="2864">
        <v>5530</v>
      </c>
      <c r="H478" s="2864">
        <v>5530</v>
      </c>
      <c r="I478" s="2322">
        <v>3980</v>
      </c>
      <c r="J478" s="3123">
        <v>4378</v>
      </c>
      <c r="K478" s="2062">
        <v>4816</v>
      </c>
      <c r="L478" s="1436">
        <v>4816</v>
      </c>
      <c r="M478" s="89"/>
      <c r="N478" s="60"/>
      <c r="O478" s="73"/>
      <c r="P478" s="65"/>
      <c r="Q478" s="65"/>
    </row>
    <row r="479" spans="1:18" x14ac:dyDescent="0.2">
      <c r="A479" s="718">
        <v>637</v>
      </c>
      <c r="B479" s="43" t="s">
        <v>491</v>
      </c>
      <c r="C479" s="1143" t="s">
        <v>492</v>
      </c>
      <c r="D479" s="1641">
        <v>450</v>
      </c>
      <c r="E479" s="1683"/>
      <c r="F479" s="1641"/>
      <c r="G479" s="2864">
        <v>535</v>
      </c>
      <c r="H479" s="2864">
        <v>535</v>
      </c>
      <c r="I479" s="2322">
        <v>343</v>
      </c>
      <c r="J479" s="3123">
        <v>343</v>
      </c>
      <c r="K479" s="2062">
        <v>343</v>
      </c>
      <c r="L479" s="1436">
        <v>343</v>
      </c>
      <c r="M479" s="89"/>
      <c r="N479" s="60"/>
      <c r="O479" s="73"/>
      <c r="P479" s="65"/>
      <c r="Q479" s="65"/>
    </row>
    <row r="480" spans="1:18" x14ac:dyDescent="0.2">
      <c r="A480" s="718">
        <v>637</v>
      </c>
      <c r="B480" s="43" t="s">
        <v>468</v>
      </c>
      <c r="C480" s="2201" t="s">
        <v>493</v>
      </c>
      <c r="D480" s="1641">
        <v>0</v>
      </c>
      <c r="E480" s="1683"/>
      <c r="F480" s="1641"/>
      <c r="G480" s="2864"/>
      <c r="H480" s="2864"/>
      <c r="I480" s="2322"/>
      <c r="J480" s="3123"/>
      <c r="K480" s="2062"/>
      <c r="L480" s="1436"/>
      <c r="M480" s="89"/>
      <c r="N480" s="60"/>
      <c r="O480" s="73"/>
      <c r="P480" s="65"/>
      <c r="Q480" s="65"/>
    </row>
    <row r="481" spans="1:17" x14ac:dyDescent="0.2">
      <c r="A481" s="719">
        <v>637</v>
      </c>
      <c r="B481" s="85" t="s">
        <v>496</v>
      </c>
      <c r="C481" s="2201" t="s">
        <v>792</v>
      </c>
      <c r="D481" s="1641">
        <v>0</v>
      </c>
      <c r="E481" s="1683"/>
      <c r="F481" s="1641"/>
      <c r="G481" s="2864"/>
      <c r="H481" s="2864"/>
      <c r="I481" s="2322"/>
      <c r="J481" s="3123"/>
      <c r="K481" s="2062"/>
      <c r="L481" s="1436"/>
      <c r="M481" s="89"/>
      <c r="N481" s="60"/>
      <c r="O481" s="73"/>
      <c r="P481" s="65"/>
      <c r="Q481" s="65"/>
    </row>
    <row r="482" spans="1:17" x14ac:dyDescent="0.2">
      <c r="A482" s="3783">
        <v>640</v>
      </c>
      <c r="B482" s="3784"/>
      <c r="C482" s="2200" t="s">
        <v>497</v>
      </c>
      <c r="D482" s="2092">
        <f t="shared" ref="D482:L482" si="61">D483+D484+D489+D493+D498+D499</f>
        <v>27290</v>
      </c>
      <c r="E482" s="1876">
        <v>1890.43</v>
      </c>
      <c r="F482" s="1873">
        <v>6172.8</v>
      </c>
      <c r="G482" s="1876">
        <f t="shared" si="61"/>
        <v>18087</v>
      </c>
      <c r="H482" s="2984">
        <f t="shared" si="61"/>
        <v>18087</v>
      </c>
      <c r="I482" s="3090">
        <f>I483+I484+I489+I493+I498+I499+I485+I486+I487+I488</f>
        <v>22220</v>
      </c>
      <c r="J482" s="2446">
        <f>J483+J484+J489+J493+J498+J499+J485+J486+J487+J488</f>
        <v>20350</v>
      </c>
      <c r="K482" s="1661">
        <f t="shared" si="61"/>
        <v>20118</v>
      </c>
      <c r="L482" s="1665">
        <f t="shared" si="61"/>
        <v>20118</v>
      </c>
      <c r="M482" s="89"/>
      <c r="N482" s="60"/>
      <c r="O482" s="73"/>
      <c r="P482" s="65"/>
      <c r="Q482" s="65"/>
    </row>
    <row r="483" spans="1:17" x14ac:dyDescent="0.2">
      <c r="A483" s="1681">
        <v>634</v>
      </c>
      <c r="B483" s="552" t="s">
        <v>111</v>
      </c>
      <c r="C483" s="2202" t="s">
        <v>729</v>
      </c>
      <c r="D483" s="2214">
        <v>1770</v>
      </c>
      <c r="E483" s="1877"/>
      <c r="F483" s="2214"/>
      <c r="G483" s="2875">
        <v>1300</v>
      </c>
      <c r="H483" s="2875">
        <v>1300</v>
      </c>
      <c r="I483" s="2322">
        <v>1408</v>
      </c>
      <c r="J483" s="3123">
        <v>1549</v>
      </c>
      <c r="K483" s="2062">
        <v>1704</v>
      </c>
      <c r="L483" s="1689">
        <v>1704</v>
      </c>
      <c r="M483" s="89"/>
      <c r="N483" s="60"/>
      <c r="O483" s="73"/>
      <c r="P483" s="65"/>
      <c r="Q483" s="65"/>
    </row>
    <row r="484" spans="1:17" x14ac:dyDescent="0.2">
      <c r="A484" s="1681"/>
      <c r="B484" s="552"/>
      <c r="C484" s="2202" t="s">
        <v>734</v>
      </c>
      <c r="D484" s="2214">
        <v>1200</v>
      </c>
      <c r="E484" s="1877"/>
      <c r="F484" s="2214"/>
      <c r="G484" s="2875">
        <v>332</v>
      </c>
      <c r="H484" s="2875">
        <v>332</v>
      </c>
      <c r="I484" s="2322">
        <v>299</v>
      </c>
      <c r="J484" s="3123">
        <v>329</v>
      </c>
      <c r="K484" s="2062">
        <v>362</v>
      </c>
      <c r="L484" s="1689">
        <v>362</v>
      </c>
      <c r="M484" s="89"/>
      <c r="N484" s="60"/>
      <c r="O484" s="73"/>
      <c r="P484" s="65"/>
      <c r="Q484" s="65"/>
    </row>
    <row r="485" spans="1:17" x14ac:dyDescent="0.2">
      <c r="A485" s="1681"/>
      <c r="B485" s="552"/>
      <c r="C485" s="2202" t="s">
        <v>916</v>
      </c>
      <c r="D485" s="2214"/>
      <c r="E485" s="1877"/>
      <c r="F485" s="2214"/>
      <c r="G485" s="2875"/>
      <c r="H485" s="2875"/>
      <c r="I485" s="2322">
        <v>800</v>
      </c>
      <c r="J485" s="3123">
        <v>0</v>
      </c>
      <c r="K485" s="2062"/>
      <c r="L485" s="1689"/>
      <c r="M485" s="89"/>
      <c r="N485" s="60"/>
      <c r="O485" s="73"/>
      <c r="P485" s="65"/>
      <c r="Q485" s="65"/>
    </row>
    <row r="486" spans="1:17" x14ac:dyDescent="0.2">
      <c r="A486" s="1681"/>
      <c r="B486" s="552"/>
      <c r="C486" s="2202" t="s">
        <v>917</v>
      </c>
      <c r="D486" s="2214"/>
      <c r="E486" s="1877"/>
      <c r="F486" s="2214"/>
      <c r="G486" s="2875"/>
      <c r="H486" s="2875"/>
      <c r="I486" s="2322">
        <v>1100</v>
      </c>
      <c r="J486" s="3123">
        <v>0</v>
      </c>
      <c r="K486" s="2062"/>
      <c r="L486" s="1689"/>
      <c r="M486" s="89"/>
      <c r="N486" s="60"/>
      <c r="O486" s="73"/>
      <c r="P486" s="65"/>
      <c r="Q486" s="65"/>
    </row>
    <row r="487" spans="1:17" x14ac:dyDescent="0.2">
      <c r="A487" s="1681"/>
      <c r="B487" s="552"/>
      <c r="C487" s="2202" t="s">
        <v>918</v>
      </c>
      <c r="D487" s="2214"/>
      <c r="E487" s="1877"/>
      <c r="F487" s="2214"/>
      <c r="G487" s="2875"/>
      <c r="H487" s="2875"/>
      <c r="I487" s="2322">
        <v>4600</v>
      </c>
      <c r="J487" s="3123">
        <v>0</v>
      </c>
      <c r="K487" s="2062"/>
      <c r="L487" s="1689"/>
      <c r="M487" s="89"/>
      <c r="N487" s="60"/>
      <c r="O487" s="73"/>
      <c r="P487" s="65"/>
      <c r="Q487" s="65"/>
    </row>
    <row r="488" spans="1:17" x14ac:dyDescent="0.2">
      <c r="A488" s="1681"/>
      <c r="B488" s="552"/>
      <c r="C488" s="2202" t="s">
        <v>919</v>
      </c>
      <c r="D488" s="2214"/>
      <c r="E488" s="1877"/>
      <c r="F488" s="2214"/>
      <c r="G488" s="2875"/>
      <c r="H488" s="2875"/>
      <c r="I488" s="2322">
        <v>4100</v>
      </c>
      <c r="J488" s="3123">
        <v>1000</v>
      </c>
      <c r="K488" s="2062"/>
      <c r="L488" s="1689"/>
      <c r="M488" s="89"/>
      <c r="N488" s="60"/>
      <c r="O488" s="73"/>
      <c r="P488" s="65"/>
      <c r="Q488" s="65"/>
    </row>
    <row r="489" spans="1:17" x14ac:dyDescent="0.2">
      <c r="A489" s="1681"/>
      <c r="B489" s="552"/>
      <c r="C489" s="2202" t="s">
        <v>730</v>
      </c>
      <c r="D489" s="2214">
        <f>D490+D491+D492</f>
        <v>7500</v>
      </c>
      <c r="E489" s="1877"/>
      <c r="F489" s="2214"/>
      <c r="G489" s="2875">
        <v>5000</v>
      </c>
      <c r="H489" s="2875">
        <v>5000</v>
      </c>
      <c r="I489" s="2322">
        <v>0</v>
      </c>
      <c r="J489" s="3123">
        <v>3000</v>
      </c>
      <c r="K489" s="2062">
        <v>3500</v>
      </c>
      <c r="L489" s="1689">
        <v>3500</v>
      </c>
      <c r="M489" s="89"/>
      <c r="N489" s="60"/>
      <c r="O489" s="73"/>
      <c r="P489" s="65"/>
      <c r="Q489" s="65"/>
    </row>
    <row r="490" spans="1:17" x14ac:dyDescent="0.2">
      <c r="A490" s="1681"/>
      <c r="B490" s="552"/>
      <c r="C490" s="2202" t="s">
        <v>742</v>
      </c>
      <c r="D490" s="2209">
        <v>1850</v>
      </c>
      <c r="E490" s="1878"/>
      <c r="F490" s="2209"/>
      <c r="G490" s="2876"/>
      <c r="H490" s="2876"/>
      <c r="I490" s="2322"/>
      <c r="J490" s="3123"/>
      <c r="K490" s="2062"/>
      <c r="L490" s="1688"/>
      <c r="M490" s="89"/>
      <c r="N490" s="60"/>
      <c r="O490" s="73"/>
      <c r="P490" s="65"/>
      <c r="Q490" s="65"/>
    </row>
    <row r="491" spans="1:17" x14ac:dyDescent="0.2">
      <c r="A491" s="1681"/>
      <c r="B491" s="552"/>
      <c r="C491" s="2202" t="s">
        <v>743</v>
      </c>
      <c r="D491" s="2209">
        <v>610</v>
      </c>
      <c r="E491" s="1878"/>
      <c r="F491" s="2209"/>
      <c r="G491" s="2876"/>
      <c r="H491" s="2876"/>
      <c r="I491" s="2322"/>
      <c r="J491" s="3123"/>
      <c r="K491" s="2062"/>
      <c r="L491" s="1688"/>
      <c r="M491" s="89"/>
      <c r="N491" s="60"/>
      <c r="O491" s="73"/>
      <c r="P491" s="65"/>
      <c r="Q491" s="65"/>
    </row>
    <row r="492" spans="1:17" x14ac:dyDescent="0.2">
      <c r="A492" s="1681"/>
      <c r="B492" s="552"/>
      <c r="C492" s="2202" t="s">
        <v>744</v>
      </c>
      <c r="D492" s="2209">
        <v>5040</v>
      </c>
      <c r="E492" s="1878"/>
      <c r="F492" s="2209"/>
      <c r="G492" s="2876"/>
      <c r="H492" s="2876"/>
      <c r="I492" s="2322"/>
      <c r="J492" s="3123"/>
      <c r="K492" s="2062"/>
      <c r="L492" s="1688"/>
      <c r="M492" s="89"/>
      <c r="N492" s="60"/>
      <c r="O492" s="73"/>
      <c r="P492" s="65"/>
      <c r="Q492" s="65"/>
    </row>
    <row r="493" spans="1:17" x14ac:dyDescent="0.2">
      <c r="A493" s="1681"/>
      <c r="B493" s="552"/>
      <c r="C493" s="2202" t="s">
        <v>591</v>
      </c>
      <c r="D493" s="2214">
        <f>D494+D495+D496+D497</f>
        <v>7850</v>
      </c>
      <c r="E493" s="1877"/>
      <c r="F493" s="2214"/>
      <c r="G493" s="2875"/>
      <c r="H493" s="2875"/>
      <c r="I493" s="2322">
        <v>2842</v>
      </c>
      <c r="J493" s="3123">
        <v>7072</v>
      </c>
      <c r="K493" s="2062">
        <v>7072</v>
      </c>
      <c r="L493" s="1689">
        <v>7072</v>
      </c>
      <c r="M493" s="89"/>
      <c r="N493" s="60"/>
      <c r="O493" s="73"/>
      <c r="P493" s="65"/>
      <c r="Q493" s="65"/>
    </row>
    <row r="494" spans="1:17" x14ac:dyDescent="0.2">
      <c r="A494" s="1681"/>
      <c r="B494" s="552"/>
      <c r="C494" s="2202" t="s">
        <v>736</v>
      </c>
      <c r="D494" s="2209">
        <v>1815</v>
      </c>
      <c r="E494" s="1878"/>
      <c r="F494" s="2209"/>
      <c r="G494" s="2876"/>
      <c r="H494" s="2876"/>
      <c r="I494" s="2322"/>
      <c r="J494" s="3123"/>
      <c r="K494" s="2062"/>
      <c r="L494" s="1688"/>
      <c r="M494" s="89"/>
      <c r="N494" s="60"/>
      <c r="O494" s="73"/>
      <c r="P494" s="65"/>
      <c r="Q494" s="65"/>
    </row>
    <row r="495" spans="1:17" x14ac:dyDescent="0.2">
      <c r="A495" s="1681"/>
      <c r="B495" s="552"/>
      <c r="C495" s="2202" t="s">
        <v>743</v>
      </c>
      <c r="D495" s="2209">
        <v>1122</v>
      </c>
      <c r="E495" s="1878"/>
      <c r="F495" s="2209"/>
      <c r="G495" s="2876"/>
      <c r="H495" s="2876"/>
      <c r="I495" s="2322"/>
      <c r="J495" s="3123"/>
      <c r="K495" s="2062"/>
      <c r="L495" s="1688"/>
      <c r="M495" s="89"/>
      <c r="N495" s="60"/>
      <c r="O495" s="73"/>
      <c r="P495" s="65"/>
      <c r="Q495" s="65"/>
    </row>
    <row r="496" spans="1:17" x14ac:dyDescent="0.2">
      <c r="A496" s="1681"/>
      <c r="B496" s="552"/>
      <c r="C496" s="2202" t="s">
        <v>737</v>
      </c>
      <c r="D496" s="2209">
        <v>1023</v>
      </c>
      <c r="E496" s="1878"/>
      <c r="F496" s="2209"/>
      <c r="G496" s="2876"/>
      <c r="H496" s="2876"/>
      <c r="I496" s="2322"/>
      <c r="J496" s="3123"/>
      <c r="K496" s="2062"/>
      <c r="L496" s="1688"/>
      <c r="M496" s="89"/>
      <c r="N496" s="60"/>
      <c r="O496" s="73"/>
      <c r="P496" s="65"/>
      <c r="Q496" s="65"/>
    </row>
    <row r="497" spans="1:18" x14ac:dyDescent="0.2">
      <c r="A497" s="1681"/>
      <c r="B497" s="552"/>
      <c r="C497" s="2202" t="s">
        <v>741</v>
      </c>
      <c r="D497" s="2209">
        <v>3890</v>
      </c>
      <c r="E497" s="1878"/>
      <c r="F497" s="2209"/>
      <c r="G497" s="2876"/>
      <c r="H497" s="2876"/>
      <c r="I497" s="2322"/>
      <c r="J497" s="3123"/>
      <c r="K497" s="2062"/>
      <c r="L497" s="1688"/>
      <c r="M497" s="89"/>
      <c r="N497" s="60"/>
      <c r="O497" s="73"/>
      <c r="P497" s="65"/>
      <c r="Q497" s="65"/>
    </row>
    <row r="498" spans="1:18" x14ac:dyDescent="0.2">
      <c r="A498" s="1681"/>
      <c r="B498" s="552"/>
      <c r="C498" s="2202" t="s">
        <v>662</v>
      </c>
      <c r="D498" s="2214">
        <v>130</v>
      </c>
      <c r="E498" s="1877"/>
      <c r="F498" s="2214"/>
      <c r="G498" s="2875">
        <v>7000</v>
      </c>
      <c r="H498" s="2875">
        <v>7000</v>
      </c>
      <c r="I498" s="2322">
        <v>4621</v>
      </c>
      <c r="J498" s="3123">
        <v>4800</v>
      </c>
      <c r="K498" s="2062">
        <v>4800</v>
      </c>
      <c r="L498" s="1689">
        <v>4800</v>
      </c>
      <c r="M498" s="89"/>
      <c r="N498" s="60"/>
      <c r="O498" s="73"/>
      <c r="P498" s="65"/>
      <c r="Q498" s="65"/>
    </row>
    <row r="499" spans="1:18" x14ac:dyDescent="0.2">
      <c r="A499" s="1681"/>
      <c r="B499" s="552"/>
      <c r="C499" s="2202" t="s">
        <v>731</v>
      </c>
      <c r="D499" s="2214">
        <f>D500+D501+D502</f>
        <v>8840</v>
      </c>
      <c r="E499" s="1879"/>
      <c r="F499" s="2214"/>
      <c r="G499" s="2877">
        <v>4455</v>
      </c>
      <c r="H499" s="2877">
        <v>4455</v>
      </c>
      <c r="I499" s="2322">
        <v>2450</v>
      </c>
      <c r="J499" s="3123">
        <v>2600</v>
      </c>
      <c r="K499" s="2064">
        <v>2680</v>
      </c>
      <c r="L499" s="1699">
        <v>2680</v>
      </c>
      <c r="M499" s="89"/>
      <c r="N499" s="60"/>
      <c r="O499" s="73"/>
      <c r="P499" s="65"/>
      <c r="Q499" s="65"/>
    </row>
    <row r="500" spans="1:18" x14ac:dyDescent="0.2">
      <c r="A500" s="1695"/>
      <c r="B500" s="1696"/>
      <c r="C500" s="2202" t="s">
        <v>738</v>
      </c>
      <c r="D500" s="2209">
        <v>6348</v>
      </c>
      <c r="E500" s="1880"/>
      <c r="F500" s="2209"/>
      <c r="G500" s="2878"/>
      <c r="H500" s="2878"/>
      <c r="I500" s="2322"/>
      <c r="J500" s="3123"/>
      <c r="K500" s="2076"/>
      <c r="L500" s="1700"/>
      <c r="M500" s="89"/>
      <c r="N500" s="60"/>
      <c r="O500" s="73"/>
      <c r="P500" s="65"/>
      <c r="Q500" s="65"/>
    </row>
    <row r="501" spans="1:18" x14ac:dyDescent="0.2">
      <c r="A501" s="1697"/>
      <c r="B501" s="1698"/>
      <c r="C501" s="2202" t="s">
        <v>739</v>
      </c>
      <c r="D501" s="2209">
        <v>1260</v>
      </c>
      <c r="E501" s="1881"/>
      <c r="F501" s="2209"/>
      <c r="G501" s="2879"/>
      <c r="H501" s="2879"/>
      <c r="I501" s="2322"/>
      <c r="J501" s="3123"/>
      <c r="K501" s="2093"/>
      <c r="L501" s="1701"/>
      <c r="M501" s="89"/>
      <c r="N501" s="60"/>
      <c r="O501" s="73"/>
      <c r="P501" s="65"/>
      <c r="Q501" s="65"/>
    </row>
    <row r="502" spans="1:18" ht="13.5" thickBot="1" x14ac:dyDescent="0.25">
      <c r="A502" s="1807"/>
      <c r="B502" s="1693"/>
      <c r="C502" s="2474" t="s">
        <v>740</v>
      </c>
      <c r="D502" s="2475">
        <v>1232</v>
      </c>
      <c r="E502" s="2476"/>
      <c r="F502" s="2475"/>
      <c r="G502" s="2880"/>
      <c r="H502" s="2880"/>
      <c r="I502" s="2357"/>
      <c r="J502" s="3199"/>
      <c r="K502" s="2477"/>
      <c r="L502" s="2478"/>
      <c r="M502" s="89"/>
      <c r="N502" s="60"/>
      <c r="O502" s="73"/>
      <c r="P502" s="65"/>
      <c r="Q502" s="65"/>
    </row>
    <row r="503" spans="1:18" ht="13.5" thickBot="1" x14ac:dyDescent="0.25">
      <c r="A503" s="2464" t="s">
        <v>733</v>
      </c>
      <c r="B503" s="2482"/>
      <c r="C503" s="2465"/>
      <c r="D503" s="2468">
        <f t="shared" ref="D503:L503" si="62">D504+D515</f>
        <v>186991</v>
      </c>
      <c r="E503" s="2467">
        <f t="shared" si="62"/>
        <v>202217.63</v>
      </c>
      <c r="F503" s="2468">
        <f>F504+F515+F543</f>
        <v>228525.53999999998</v>
      </c>
      <c r="G503" s="2467">
        <f t="shared" si="62"/>
        <v>264494</v>
      </c>
      <c r="H503" s="2469">
        <f t="shared" si="62"/>
        <v>264494</v>
      </c>
      <c r="I503" s="2470">
        <f>I504+I515+I557</f>
        <v>261298</v>
      </c>
      <c r="J503" s="2471">
        <f>J504+J515+J557</f>
        <v>267596</v>
      </c>
      <c r="K503" s="3201">
        <f t="shared" si="62"/>
        <v>280220</v>
      </c>
      <c r="L503" s="3202">
        <f t="shared" si="62"/>
        <v>280220</v>
      </c>
      <c r="M503" s="89"/>
      <c r="N503" s="89"/>
      <c r="O503" s="73"/>
      <c r="P503" s="65"/>
      <c r="Q503" s="65"/>
    </row>
    <row r="504" spans="1:18" x14ac:dyDescent="0.2">
      <c r="A504" s="3811">
        <v>610.62</v>
      </c>
      <c r="B504" s="3793"/>
      <c r="C504" s="2479" t="s">
        <v>732</v>
      </c>
      <c r="D504" s="2480">
        <f>SUM(D505:D512)</f>
        <v>168020</v>
      </c>
      <c r="E504" s="1882">
        <v>189082.07</v>
      </c>
      <c r="F504" s="2481">
        <v>210618.44</v>
      </c>
      <c r="G504" s="1882">
        <f>SUM(G505:G512)+G513</f>
        <v>249467</v>
      </c>
      <c r="H504" s="2991">
        <f>SUM(H505:H512)+H513</f>
        <v>249467</v>
      </c>
      <c r="I504" s="3025">
        <f>SUM(I505:I512)+I513</f>
        <v>248152</v>
      </c>
      <c r="J504" s="2461">
        <f>SUM(J505:J512)+J513</f>
        <v>249389</v>
      </c>
      <c r="K504" s="3203">
        <f>SUM(K505:K512)</f>
        <v>261286</v>
      </c>
      <c r="L504" s="3204">
        <f>SUM(L505:L512)</f>
        <v>261286</v>
      </c>
      <c r="M504" s="89"/>
      <c r="N504" s="89"/>
      <c r="O504" s="73"/>
      <c r="P504" s="65"/>
      <c r="Q504" s="65"/>
      <c r="R504" s="62"/>
    </row>
    <row r="505" spans="1:18" x14ac:dyDescent="0.2">
      <c r="A505" s="3785" t="s">
        <v>726</v>
      </c>
      <c r="B505" s="1663">
        <v>610</v>
      </c>
      <c r="C505" s="2194" t="s">
        <v>449</v>
      </c>
      <c r="D505" s="1641">
        <v>24752</v>
      </c>
      <c r="E505" s="1683"/>
      <c r="F505" s="1641"/>
      <c r="G505" s="2864">
        <v>33684</v>
      </c>
      <c r="H505" s="2864">
        <v>33684</v>
      </c>
      <c r="I505" s="3123">
        <v>33924</v>
      </c>
      <c r="J505" s="3123">
        <v>34250</v>
      </c>
      <c r="K505" s="3124">
        <v>35963</v>
      </c>
      <c r="L505" s="3120">
        <v>35963</v>
      </c>
      <c r="M505" s="89"/>
      <c r="N505" s="89"/>
      <c r="O505" s="73"/>
      <c r="P505" s="65"/>
      <c r="Q505" s="65"/>
      <c r="R505" s="62"/>
    </row>
    <row r="506" spans="1:18" s="34" customFormat="1" x14ac:dyDescent="0.2">
      <c r="A506" s="3769"/>
      <c r="B506" s="1646">
        <v>620</v>
      </c>
      <c r="C506" s="2195" t="s">
        <v>194</v>
      </c>
      <c r="D506" s="1641">
        <v>8472</v>
      </c>
      <c r="E506" s="1683"/>
      <c r="F506" s="1641"/>
      <c r="G506" s="2864">
        <v>11640</v>
      </c>
      <c r="H506" s="2864">
        <v>11640</v>
      </c>
      <c r="I506" s="3123">
        <v>11750</v>
      </c>
      <c r="J506" s="3123">
        <v>11869</v>
      </c>
      <c r="K506" s="3124">
        <v>12463</v>
      </c>
      <c r="L506" s="3120">
        <v>12463</v>
      </c>
      <c r="M506" s="89"/>
      <c r="N506" s="20"/>
      <c r="O506" s="73"/>
      <c r="P506" s="572"/>
      <c r="Q506" s="65"/>
      <c r="R506" s="62"/>
    </row>
    <row r="507" spans="1:18" s="641" customFormat="1" x14ac:dyDescent="0.2">
      <c r="A507" s="3769" t="s">
        <v>727</v>
      </c>
      <c r="B507" s="1646">
        <v>610</v>
      </c>
      <c r="C507" s="2196" t="s">
        <v>449</v>
      </c>
      <c r="D507" s="1641">
        <v>77988</v>
      </c>
      <c r="E507" s="1683"/>
      <c r="F507" s="1641"/>
      <c r="G507" s="2864">
        <v>116034</v>
      </c>
      <c r="H507" s="2864">
        <v>116034</v>
      </c>
      <c r="I507" s="3123">
        <v>114178</v>
      </c>
      <c r="J507" s="3123">
        <v>114950</v>
      </c>
      <c r="K507" s="3124">
        <v>120698</v>
      </c>
      <c r="L507" s="3120">
        <v>120698</v>
      </c>
      <c r="M507" s="573"/>
      <c r="N507" s="550"/>
      <c r="O507" s="562"/>
      <c r="P507" s="528"/>
      <c r="Q507" s="561"/>
      <c r="R507" s="559"/>
    </row>
    <row r="508" spans="1:18" s="641" customFormat="1" x14ac:dyDescent="0.2">
      <c r="A508" s="3769"/>
      <c r="B508" s="1646">
        <v>620</v>
      </c>
      <c r="C508" s="2195" t="s">
        <v>194</v>
      </c>
      <c r="D508" s="1641">
        <v>27264</v>
      </c>
      <c r="E508" s="1683"/>
      <c r="F508" s="1641"/>
      <c r="G508" s="2864">
        <v>40551</v>
      </c>
      <c r="H508" s="2864">
        <v>40551</v>
      </c>
      <c r="I508" s="3123">
        <v>39562</v>
      </c>
      <c r="J508" s="3123">
        <v>39798</v>
      </c>
      <c r="K508" s="3124">
        <v>41788</v>
      </c>
      <c r="L508" s="3120">
        <v>41788</v>
      </c>
      <c r="M508" s="573"/>
      <c r="N508" s="550"/>
      <c r="O508" s="562"/>
      <c r="P508" s="528"/>
      <c r="Q508" s="561"/>
      <c r="R508" s="559"/>
    </row>
    <row r="509" spans="1:18" s="34" customFormat="1" x14ac:dyDescent="0.2">
      <c r="A509" s="3769" t="s">
        <v>394</v>
      </c>
      <c r="B509" s="1646">
        <v>610</v>
      </c>
      <c r="C509" s="2196" t="s">
        <v>449</v>
      </c>
      <c r="D509" s="1641">
        <v>9840</v>
      </c>
      <c r="E509" s="1683"/>
      <c r="F509" s="1641"/>
      <c r="G509" s="2864">
        <v>14617</v>
      </c>
      <c r="H509" s="2864">
        <v>14617</v>
      </c>
      <c r="I509" s="3123">
        <v>15043</v>
      </c>
      <c r="J509" s="3123">
        <v>15190</v>
      </c>
      <c r="K509" s="3200">
        <v>15951</v>
      </c>
      <c r="L509" s="3205">
        <v>15951</v>
      </c>
      <c r="M509" s="625"/>
      <c r="N509" s="626"/>
      <c r="O509" s="625"/>
      <c r="P509" s="528"/>
      <c r="Q509" s="642"/>
      <c r="R509" s="16"/>
    </row>
    <row r="510" spans="1:18" s="34" customFormat="1" x14ac:dyDescent="0.2">
      <c r="A510" s="3769"/>
      <c r="B510" s="1646">
        <v>620</v>
      </c>
      <c r="C510" s="2195" t="s">
        <v>194</v>
      </c>
      <c r="D510" s="1641">
        <v>3384</v>
      </c>
      <c r="E510" s="1683"/>
      <c r="F510" s="1641"/>
      <c r="G510" s="2864">
        <v>5108</v>
      </c>
      <c r="H510" s="2864">
        <v>5108</v>
      </c>
      <c r="I510" s="3123">
        <v>5258</v>
      </c>
      <c r="J510" s="3123">
        <v>5309</v>
      </c>
      <c r="K510" s="3200">
        <v>5575</v>
      </c>
      <c r="L510" s="3205">
        <v>5575</v>
      </c>
      <c r="M510" s="625"/>
      <c r="N510" s="626"/>
      <c r="O510" s="625"/>
      <c r="P510" s="528"/>
      <c r="Q510" s="642"/>
      <c r="R510" s="16"/>
    </row>
    <row r="511" spans="1:18" s="34" customFormat="1" x14ac:dyDescent="0.2">
      <c r="A511" s="3769" t="s">
        <v>728</v>
      </c>
      <c r="B511" s="1646">
        <v>610</v>
      </c>
      <c r="C511" s="2196" t="s">
        <v>449</v>
      </c>
      <c r="D511" s="1641">
        <v>12120</v>
      </c>
      <c r="E511" s="1683"/>
      <c r="F511" s="1641"/>
      <c r="G511" s="2864">
        <v>18443</v>
      </c>
      <c r="H511" s="2864">
        <v>18443</v>
      </c>
      <c r="I511" s="3123">
        <v>20270</v>
      </c>
      <c r="J511" s="3123">
        <v>20427</v>
      </c>
      <c r="K511" s="3200">
        <v>21449</v>
      </c>
      <c r="L511" s="3205">
        <v>21449</v>
      </c>
      <c r="M511" s="625"/>
      <c r="N511" s="626"/>
      <c r="O511" s="625"/>
      <c r="P511" s="528"/>
      <c r="Q511" s="642"/>
      <c r="R511" s="16"/>
    </row>
    <row r="512" spans="1:18" s="34" customFormat="1" x14ac:dyDescent="0.2">
      <c r="A512" s="3769"/>
      <c r="B512" s="1646">
        <v>620</v>
      </c>
      <c r="C512" s="2195" t="s">
        <v>194</v>
      </c>
      <c r="D512" s="1868">
        <v>4200</v>
      </c>
      <c r="E512" s="1685"/>
      <c r="F512" s="1868"/>
      <c r="G512" s="2874">
        <v>6445</v>
      </c>
      <c r="H512" s="2874">
        <v>6445</v>
      </c>
      <c r="I512" s="3123">
        <v>6999</v>
      </c>
      <c r="J512" s="3123">
        <v>7046</v>
      </c>
      <c r="K512" s="3200">
        <v>7399</v>
      </c>
      <c r="L512" s="3206">
        <v>7399</v>
      </c>
      <c r="M512" s="625"/>
      <c r="N512" s="626"/>
      <c r="O512" s="625"/>
      <c r="P512" s="528"/>
      <c r="Q512" s="642"/>
      <c r="R512" s="16"/>
    </row>
    <row r="513" spans="1:18" s="34" customFormat="1" x14ac:dyDescent="0.2">
      <c r="A513" s="2290"/>
      <c r="B513" s="597"/>
      <c r="C513" s="2195" t="s">
        <v>848</v>
      </c>
      <c r="D513" s="1868"/>
      <c r="E513" s="1686"/>
      <c r="F513" s="1868"/>
      <c r="G513" s="2874">
        <v>2945</v>
      </c>
      <c r="H513" s="2874">
        <v>2945</v>
      </c>
      <c r="I513" s="3123">
        <v>1168</v>
      </c>
      <c r="J513" s="3123">
        <v>550</v>
      </c>
      <c r="K513" s="3200"/>
      <c r="L513" s="3206"/>
      <c r="M513" s="625"/>
      <c r="N513" s="626"/>
      <c r="O513" s="625"/>
      <c r="P513" s="528"/>
      <c r="Q513" s="642"/>
      <c r="R513" s="16"/>
    </row>
    <row r="514" spans="1:18" s="34" customFormat="1" x14ac:dyDescent="0.2">
      <c r="A514" s="2290"/>
      <c r="B514" s="597"/>
      <c r="C514" s="2195"/>
      <c r="D514" s="1868"/>
      <c r="E514" s="1686"/>
      <c r="F514" s="1868"/>
      <c r="G514" s="1686"/>
      <c r="H514" s="2874"/>
      <c r="I514" s="3123"/>
      <c r="J514" s="3123"/>
      <c r="K514" s="3200"/>
      <c r="L514" s="3206"/>
      <c r="M514" s="625"/>
      <c r="N514" s="626"/>
      <c r="O514" s="625"/>
      <c r="P514" s="528"/>
      <c r="Q514" s="642"/>
      <c r="R514" s="16"/>
    </row>
    <row r="515" spans="1:18" x14ac:dyDescent="0.2">
      <c r="A515" s="1680"/>
      <c r="B515" s="1662" t="s">
        <v>586</v>
      </c>
      <c r="C515" s="2198" t="s">
        <v>363</v>
      </c>
      <c r="D515" s="2095">
        <f t="shared" ref="D515:L515" si="63">D516+D517+D528+D530+D534+D543</f>
        <v>18971</v>
      </c>
      <c r="E515" s="3210">
        <f t="shared" si="63"/>
        <v>13135.56</v>
      </c>
      <c r="F515" s="3211">
        <v>17067.55</v>
      </c>
      <c r="G515" s="3210">
        <f t="shared" si="63"/>
        <v>15027</v>
      </c>
      <c r="H515" s="3212">
        <f t="shared" si="63"/>
        <v>15027</v>
      </c>
      <c r="I515" s="3090">
        <f>I516+I517+I528+I530+I534+I543</f>
        <v>12901</v>
      </c>
      <c r="J515" s="3213">
        <f>J516+J517+J528+J530+J534+J543</f>
        <v>18207</v>
      </c>
      <c r="K515" s="3214">
        <f t="shared" si="63"/>
        <v>18934</v>
      </c>
      <c r="L515" s="3215">
        <f t="shared" si="63"/>
        <v>18934</v>
      </c>
      <c r="M515" s="573"/>
      <c r="O515" s="606"/>
      <c r="P515" s="528"/>
      <c r="Q515" s="561"/>
    </row>
    <row r="516" spans="1:18" x14ac:dyDescent="0.2">
      <c r="A516" s="3779">
        <v>632</v>
      </c>
      <c r="B516" s="3780"/>
      <c r="C516" s="2198" t="s">
        <v>453</v>
      </c>
      <c r="D516" s="1873">
        <v>1815</v>
      </c>
      <c r="E516" s="1873">
        <v>1724.09</v>
      </c>
      <c r="F516" s="1873"/>
      <c r="G516" s="1873">
        <v>1584</v>
      </c>
      <c r="H516" s="2992">
        <v>1584</v>
      </c>
      <c r="I516" s="3091">
        <v>1813</v>
      </c>
      <c r="J516" s="2446">
        <v>2914</v>
      </c>
      <c r="K516" s="2096">
        <v>3205</v>
      </c>
      <c r="L516" s="1871">
        <v>3205</v>
      </c>
      <c r="M516" s="573"/>
      <c r="O516" s="606"/>
      <c r="P516" s="528"/>
      <c r="Q516" s="561"/>
    </row>
    <row r="517" spans="1:18" x14ac:dyDescent="0.2">
      <c r="A517" s="3781">
        <v>633</v>
      </c>
      <c r="B517" s="3782"/>
      <c r="C517" s="2193" t="s">
        <v>455</v>
      </c>
      <c r="D517" s="2097">
        <f>SUM(D518:D527)</f>
        <v>5974</v>
      </c>
      <c r="E517" s="1873">
        <v>1099.6500000000001</v>
      </c>
      <c r="F517" s="1873"/>
      <c r="G517" s="1873">
        <f t="shared" ref="G517:K517" si="64">SUM(G518:G526)+G527</f>
        <v>1526</v>
      </c>
      <c r="H517" s="2992">
        <f t="shared" si="64"/>
        <v>1526</v>
      </c>
      <c r="I517" s="3091">
        <f t="shared" si="64"/>
        <v>1120</v>
      </c>
      <c r="J517" s="2446">
        <f>SUM(J518:J526)+J527</f>
        <v>1340</v>
      </c>
      <c r="K517" s="1870">
        <f t="shared" si="64"/>
        <v>1462</v>
      </c>
      <c r="L517" s="1871">
        <f>SUM(L519:L527)</f>
        <v>1462</v>
      </c>
      <c r="M517" s="573"/>
      <c r="O517" s="606"/>
      <c r="P517" s="528"/>
      <c r="Q517" s="561"/>
    </row>
    <row r="518" spans="1:18" x14ac:dyDescent="0.2">
      <c r="A518" s="1645">
        <v>633</v>
      </c>
      <c r="B518" s="556" t="s">
        <v>94</v>
      </c>
      <c r="C518" s="711" t="s">
        <v>456</v>
      </c>
      <c r="D518" s="1639"/>
      <c r="E518" s="1707"/>
      <c r="F518" s="2272"/>
      <c r="G518" s="2868"/>
      <c r="H518" s="2868"/>
      <c r="I518" s="3123"/>
      <c r="J518" s="3123"/>
      <c r="K518" s="3207"/>
      <c r="L518" s="3208"/>
      <c r="M518" s="573"/>
      <c r="O518" s="606"/>
      <c r="P518" s="528"/>
      <c r="Q518" s="561"/>
    </row>
    <row r="519" spans="1:18" x14ac:dyDescent="0.2">
      <c r="A519" s="718">
        <v>633</v>
      </c>
      <c r="B519" s="557" t="s">
        <v>97</v>
      </c>
      <c r="C519" s="2201" t="s">
        <v>457</v>
      </c>
      <c r="D519" s="1639"/>
      <c r="E519" s="1449"/>
      <c r="F519" s="1639"/>
      <c r="G519" s="2868"/>
      <c r="H519" s="2868"/>
      <c r="I519" s="3123"/>
      <c r="J519" s="3123"/>
      <c r="K519" s="3207"/>
      <c r="L519" s="3208"/>
      <c r="M519" s="573"/>
      <c r="O519" s="606"/>
      <c r="P519" s="528"/>
      <c r="Q519" s="561"/>
    </row>
    <row r="520" spans="1:18" x14ac:dyDescent="0.2">
      <c r="A520" s="718">
        <v>633</v>
      </c>
      <c r="B520" s="557" t="s">
        <v>120</v>
      </c>
      <c r="C520" s="2201" t="s">
        <v>458</v>
      </c>
      <c r="D520" s="1639"/>
      <c r="E520" s="1449"/>
      <c r="F520" s="1639"/>
      <c r="G520" s="2868"/>
      <c r="H520" s="2868"/>
      <c r="I520" s="3123"/>
      <c r="J520" s="3123"/>
      <c r="K520" s="3207"/>
      <c r="L520" s="3208"/>
      <c r="M520" s="573"/>
      <c r="O520" s="606"/>
      <c r="P520" s="528"/>
      <c r="Q520" s="561"/>
    </row>
    <row r="521" spans="1:18" x14ac:dyDescent="0.2">
      <c r="A521" s="718">
        <v>633</v>
      </c>
      <c r="B521" s="43" t="s">
        <v>125</v>
      </c>
      <c r="C521" s="2201" t="s">
        <v>460</v>
      </c>
      <c r="D521" s="1868">
        <v>935</v>
      </c>
      <c r="E521" s="1686"/>
      <c r="F521" s="1868"/>
      <c r="G521" s="2871">
        <v>330</v>
      </c>
      <c r="H521" s="2871">
        <v>330</v>
      </c>
      <c r="I521" s="3123">
        <v>300</v>
      </c>
      <c r="J521" s="3123">
        <v>360</v>
      </c>
      <c r="K521" s="3207">
        <v>396</v>
      </c>
      <c r="L521" s="3209">
        <v>396</v>
      </c>
      <c r="M521" s="573"/>
      <c r="O521" s="606"/>
      <c r="P521" s="528"/>
      <c r="Q521" s="561"/>
    </row>
    <row r="522" spans="1:18" x14ac:dyDescent="0.2">
      <c r="A522" s="718">
        <v>633</v>
      </c>
      <c r="B522" s="43" t="s">
        <v>125</v>
      </c>
      <c r="C522" s="2201" t="s">
        <v>746</v>
      </c>
      <c r="D522" s="1868">
        <v>4166</v>
      </c>
      <c r="E522" s="1686"/>
      <c r="F522" s="1868"/>
      <c r="G522" s="2871">
        <v>0</v>
      </c>
      <c r="H522" s="2871">
        <v>0</v>
      </c>
      <c r="I522" s="3123">
        <v>0</v>
      </c>
      <c r="J522" s="3123">
        <v>0</v>
      </c>
      <c r="K522" s="3207">
        <v>0</v>
      </c>
      <c r="L522" s="3209">
        <v>0</v>
      </c>
      <c r="M522" s="573"/>
      <c r="O522" s="606"/>
      <c r="P522" s="528"/>
      <c r="Q522" s="561"/>
    </row>
    <row r="523" spans="1:18" x14ac:dyDescent="0.2">
      <c r="A523" s="718">
        <v>633</v>
      </c>
      <c r="B523" s="43" t="s">
        <v>461</v>
      </c>
      <c r="C523" s="2201" t="s">
        <v>388</v>
      </c>
      <c r="D523" s="1868">
        <v>627</v>
      </c>
      <c r="E523" s="1686"/>
      <c r="F523" s="1868"/>
      <c r="G523" s="2871">
        <v>330</v>
      </c>
      <c r="H523" s="2871">
        <v>330</v>
      </c>
      <c r="I523" s="3123">
        <v>300</v>
      </c>
      <c r="J523" s="3123">
        <v>360</v>
      </c>
      <c r="K523" s="3207">
        <v>396</v>
      </c>
      <c r="L523" s="3209">
        <v>396</v>
      </c>
      <c r="M523" s="573"/>
      <c r="O523" s="606"/>
      <c r="P523" s="528"/>
      <c r="Q523" s="561"/>
    </row>
    <row r="524" spans="1:18" x14ac:dyDescent="0.2">
      <c r="A524" s="718">
        <v>633</v>
      </c>
      <c r="B524" s="43" t="s">
        <v>463</v>
      </c>
      <c r="C524" s="2201" t="s">
        <v>464</v>
      </c>
      <c r="D524" s="1868"/>
      <c r="E524" s="1686"/>
      <c r="F524" s="1868"/>
      <c r="G524" s="2871"/>
      <c r="H524" s="2871"/>
      <c r="I524" s="3123"/>
      <c r="J524" s="3123"/>
      <c r="K524" s="3207"/>
      <c r="L524" s="3209"/>
      <c r="M524" s="573"/>
      <c r="O524" s="606"/>
      <c r="P524" s="528"/>
      <c r="Q524" s="561"/>
    </row>
    <row r="525" spans="1:18" x14ac:dyDescent="0.2">
      <c r="A525" s="718">
        <v>633</v>
      </c>
      <c r="B525" s="43" t="s">
        <v>465</v>
      </c>
      <c r="C525" s="2201" t="s">
        <v>466</v>
      </c>
      <c r="D525" s="1868"/>
      <c r="E525" s="1686"/>
      <c r="F525" s="1868"/>
      <c r="G525" s="2871"/>
      <c r="H525" s="2871"/>
      <c r="I525" s="3123"/>
      <c r="J525" s="3123"/>
      <c r="K525" s="3207"/>
      <c r="L525" s="3209"/>
      <c r="M525" s="573"/>
      <c r="O525" s="606"/>
      <c r="P525" s="528"/>
      <c r="Q525" s="561"/>
    </row>
    <row r="526" spans="1:18" x14ac:dyDescent="0.2">
      <c r="A526" s="718">
        <v>633</v>
      </c>
      <c r="B526" s="43" t="s">
        <v>103</v>
      </c>
      <c r="C526" s="2201" t="s">
        <v>467</v>
      </c>
      <c r="D526" s="1868">
        <v>246</v>
      </c>
      <c r="E526" s="1686"/>
      <c r="F526" s="1868"/>
      <c r="G526" s="2871">
        <v>666</v>
      </c>
      <c r="H526" s="2871">
        <v>666</v>
      </c>
      <c r="I526" s="3123">
        <v>320</v>
      </c>
      <c r="J526" s="3123">
        <v>320</v>
      </c>
      <c r="K526" s="3207">
        <v>320</v>
      </c>
      <c r="L526" s="3209">
        <v>320</v>
      </c>
      <c r="M526" s="573"/>
      <c r="O526" s="606"/>
      <c r="P526" s="528"/>
      <c r="Q526" s="561"/>
    </row>
    <row r="527" spans="1:18" x14ac:dyDescent="0.2">
      <c r="A527" s="718">
        <v>633</v>
      </c>
      <c r="B527" s="43" t="s">
        <v>468</v>
      </c>
      <c r="C527" s="2201" t="s">
        <v>469</v>
      </c>
      <c r="D527" s="1868"/>
      <c r="E527" s="1686"/>
      <c r="F527" s="1868"/>
      <c r="G527" s="2871">
        <v>200</v>
      </c>
      <c r="H527" s="2871">
        <v>200</v>
      </c>
      <c r="I527" s="3123">
        <v>200</v>
      </c>
      <c r="J527" s="3123">
        <v>300</v>
      </c>
      <c r="K527" s="3207">
        <v>350</v>
      </c>
      <c r="L527" s="3209">
        <v>350</v>
      </c>
      <c r="M527" s="573"/>
      <c r="O527" s="606"/>
      <c r="P527" s="528"/>
      <c r="Q527" s="561"/>
    </row>
    <row r="528" spans="1:18" x14ac:dyDescent="0.2">
      <c r="A528" s="3783">
        <v>634</v>
      </c>
      <c r="B528" s="3784"/>
      <c r="C528" s="2200" t="s">
        <v>470</v>
      </c>
      <c r="D528" s="1712"/>
      <c r="E528" s="1870">
        <f t="shared" ref="E528:L528" si="65">E529</f>
        <v>0</v>
      </c>
      <c r="F528" s="1873">
        <f t="shared" si="65"/>
        <v>0</v>
      </c>
      <c r="G528" s="2872">
        <f t="shared" si="65"/>
        <v>0</v>
      </c>
      <c r="H528" s="2872">
        <f t="shared" si="65"/>
        <v>0</v>
      </c>
      <c r="I528" s="2322">
        <f t="shared" si="65"/>
        <v>0</v>
      </c>
      <c r="J528" s="2322">
        <f t="shared" si="65"/>
        <v>0</v>
      </c>
      <c r="K528" s="2292">
        <f t="shared" si="65"/>
        <v>0</v>
      </c>
      <c r="L528" s="1871">
        <f t="shared" si="65"/>
        <v>0</v>
      </c>
      <c r="M528" s="573"/>
      <c r="O528" s="606"/>
      <c r="P528" s="528"/>
      <c r="Q528" s="561"/>
    </row>
    <row r="529" spans="1:17" x14ac:dyDescent="0.2">
      <c r="A529" s="718">
        <v>634</v>
      </c>
      <c r="B529" s="43" t="s">
        <v>111</v>
      </c>
      <c r="C529" s="2201" t="s">
        <v>475</v>
      </c>
      <c r="D529" s="1712"/>
      <c r="E529" s="1686"/>
      <c r="F529" s="1868"/>
      <c r="G529" s="2871"/>
      <c r="H529" s="2871"/>
      <c r="I529" s="2322"/>
      <c r="J529" s="2322"/>
      <c r="K529" s="2293"/>
      <c r="L529" s="1687"/>
      <c r="M529" s="573"/>
      <c r="O529" s="606"/>
      <c r="P529" s="528"/>
      <c r="Q529" s="561"/>
    </row>
    <row r="530" spans="1:17" x14ac:dyDescent="0.2">
      <c r="A530" s="3783">
        <v>635</v>
      </c>
      <c r="B530" s="3784"/>
      <c r="C530" s="2200" t="s">
        <v>477</v>
      </c>
      <c r="D530" s="2097">
        <f>D531</f>
        <v>0</v>
      </c>
      <c r="E530" s="1870">
        <f t="shared" ref="E530:L530" si="66">SUM(E531:E533)</f>
        <v>0</v>
      </c>
      <c r="F530" s="1873">
        <f t="shared" si="66"/>
        <v>0</v>
      </c>
      <c r="G530" s="2872">
        <f t="shared" ref="G530" si="67">SUM(G531:G533)</f>
        <v>0</v>
      </c>
      <c r="H530" s="2872">
        <f t="shared" si="66"/>
        <v>0</v>
      </c>
      <c r="I530" s="2322">
        <f>SUM(I531:I533)</f>
        <v>0</v>
      </c>
      <c r="J530" s="2322">
        <f>SUM(J531:J533)</f>
        <v>0</v>
      </c>
      <c r="K530" s="2292">
        <f t="shared" si="66"/>
        <v>0</v>
      </c>
      <c r="L530" s="1871">
        <f t="shared" si="66"/>
        <v>0</v>
      </c>
      <c r="M530" s="573"/>
      <c r="O530" s="606"/>
      <c r="P530" s="528"/>
      <c r="Q530" s="561"/>
    </row>
    <row r="531" spans="1:17" x14ac:dyDescent="0.2">
      <c r="A531" s="1675">
        <v>635</v>
      </c>
      <c r="B531" s="566" t="s">
        <v>97</v>
      </c>
      <c r="C531" s="2201" t="s">
        <v>478</v>
      </c>
      <c r="D531" s="1712"/>
      <c r="E531" s="1686"/>
      <c r="F531" s="1868"/>
      <c r="G531" s="2871"/>
      <c r="H531" s="2871"/>
      <c r="I531" s="2322"/>
      <c r="J531" s="2322"/>
      <c r="K531" s="2293"/>
      <c r="L531" s="1687"/>
      <c r="M531" s="573"/>
      <c r="O531" s="606"/>
      <c r="P531" s="528"/>
      <c r="Q531" s="561"/>
    </row>
    <row r="532" spans="1:17" x14ac:dyDescent="0.2">
      <c r="A532" s="718">
        <v>635</v>
      </c>
      <c r="B532" s="43" t="s">
        <v>111</v>
      </c>
      <c r="C532" s="2201" t="s">
        <v>479</v>
      </c>
      <c r="D532" s="1712"/>
      <c r="E532" s="1686"/>
      <c r="F532" s="1868"/>
      <c r="G532" s="2871"/>
      <c r="H532" s="2871"/>
      <c r="I532" s="2322"/>
      <c r="J532" s="2322"/>
      <c r="K532" s="2293"/>
      <c r="L532" s="1687"/>
      <c r="M532" s="573"/>
      <c r="O532" s="606"/>
      <c r="P532" s="528"/>
      <c r="Q532" s="561"/>
    </row>
    <row r="533" spans="1:17" x14ac:dyDescent="0.2">
      <c r="A533" s="719">
        <v>635</v>
      </c>
      <c r="B533" s="85" t="s">
        <v>125</v>
      </c>
      <c r="C533" s="2201" t="s">
        <v>480</v>
      </c>
      <c r="D533" s="1712"/>
      <c r="E533" s="1875"/>
      <c r="F533" s="1868"/>
      <c r="G533" s="2873"/>
      <c r="H533" s="2873"/>
      <c r="I533" s="2322"/>
      <c r="J533" s="2322"/>
      <c r="K533" s="2294"/>
      <c r="L533" s="1874"/>
      <c r="M533" s="573"/>
      <c r="O533" s="606"/>
      <c r="P533" s="528"/>
      <c r="Q533" s="561"/>
    </row>
    <row r="534" spans="1:17" x14ac:dyDescent="0.2">
      <c r="A534" s="3783">
        <v>637</v>
      </c>
      <c r="B534" s="3784"/>
      <c r="C534" s="2200" t="s">
        <v>483</v>
      </c>
      <c r="D534" s="2097">
        <f t="shared" ref="D534:L534" si="68">SUM(D535:D542)</f>
        <v>4600</v>
      </c>
      <c r="E534" s="3217">
        <v>9304.82</v>
      </c>
      <c r="F534" s="3211"/>
      <c r="G534" s="3217">
        <f t="shared" si="68"/>
        <v>4642</v>
      </c>
      <c r="H534" s="3218">
        <f t="shared" si="68"/>
        <v>4642</v>
      </c>
      <c r="I534" s="3219">
        <f>SUM(I535:I542)</f>
        <v>3432</v>
      </c>
      <c r="J534" s="3213">
        <f>SUM(J535:J542)</f>
        <v>4085</v>
      </c>
      <c r="K534" s="3220">
        <f t="shared" si="68"/>
        <v>4477</v>
      </c>
      <c r="L534" s="3221">
        <f t="shared" si="68"/>
        <v>4477</v>
      </c>
      <c r="M534" s="573"/>
      <c r="O534" s="606"/>
      <c r="P534" s="528"/>
      <c r="Q534" s="561"/>
    </row>
    <row r="535" spans="1:17" x14ac:dyDescent="0.2">
      <c r="A535" s="1675">
        <v>637</v>
      </c>
      <c r="B535" s="566" t="s">
        <v>94</v>
      </c>
      <c r="C535" s="2201" t="s">
        <v>484</v>
      </c>
      <c r="D535" s="1868"/>
      <c r="E535" s="1686"/>
      <c r="F535" s="1868"/>
      <c r="G535" s="2871"/>
      <c r="H535" s="2871"/>
      <c r="I535" s="3123"/>
      <c r="J535" s="3123"/>
      <c r="K535" s="3207"/>
      <c r="L535" s="3209"/>
      <c r="M535" s="573"/>
      <c r="O535" s="606"/>
      <c r="P535" s="528"/>
      <c r="Q535" s="561"/>
    </row>
    <row r="536" spans="1:17" x14ac:dyDescent="0.2">
      <c r="A536" s="1676">
        <v>637</v>
      </c>
      <c r="B536" s="1067" t="s">
        <v>111</v>
      </c>
      <c r="C536" s="2201" t="s">
        <v>487</v>
      </c>
      <c r="D536" s="1868"/>
      <c r="E536" s="1686"/>
      <c r="F536" s="1868"/>
      <c r="G536" s="2871">
        <v>1859</v>
      </c>
      <c r="H536" s="2871">
        <v>1859</v>
      </c>
      <c r="I536" s="3123">
        <v>1831</v>
      </c>
      <c r="J536" s="3123">
        <v>2198</v>
      </c>
      <c r="K536" s="3207">
        <v>2418</v>
      </c>
      <c r="L536" s="3209">
        <v>2418</v>
      </c>
      <c r="M536" s="573"/>
      <c r="O536" s="606"/>
      <c r="P536" s="528"/>
      <c r="Q536" s="561"/>
    </row>
    <row r="537" spans="1:17" x14ac:dyDescent="0.2">
      <c r="A537" s="718">
        <v>637</v>
      </c>
      <c r="B537" s="43" t="s">
        <v>120</v>
      </c>
      <c r="C537" s="2201" t="s">
        <v>327</v>
      </c>
      <c r="D537" s="1868">
        <v>1640</v>
      </c>
      <c r="E537" s="1686"/>
      <c r="F537" s="1868"/>
      <c r="G537" s="2871"/>
      <c r="H537" s="2871"/>
      <c r="I537" s="3123"/>
      <c r="J537" s="3123"/>
      <c r="K537" s="3207"/>
      <c r="L537" s="3209"/>
      <c r="M537" s="573"/>
      <c r="O537" s="606"/>
      <c r="P537" s="528"/>
      <c r="Q537" s="561"/>
    </row>
    <row r="538" spans="1:17" x14ac:dyDescent="0.2">
      <c r="A538" s="718">
        <v>637</v>
      </c>
      <c r="B538" s="43" t="s">
        <v>102</v>
      </c>
      <c r="C538" s="2201" t="s">
        <v>488</v>
      </c>
      <c r="D538" s="1639"/>
      <c r="E538" s="1449"/>
      <c r="F538" s="1639"/>
      <c r="G538" s="2868"/>
      <c r="H538" s="2868"/>
      <c r="I538" s="3123"/>
      <c r="J538" s="3123"/>
      <c r="K538" s="3207"/>
      <c r="L538" s="3208"/>
      <c r="M538" s="573"/>
      <c r="O538" s="606"/>
      <c r="P538" s="528"/>
      <c r="Q538" s="561"/>
    </row>
    <row r="539" spans="1:17" x14ac:dyDescent="0.2">
      <c r="A539" s="1675">
        <v>637</v>
      </c>
      <c r="B539" s="566" t="s">
        <v>105</v>
      </c>
      <c r="C539" s="2201" t="s">
        <v>489</v>
      </c>
      <c r="D539" s="1868">
        <v>2772</v>
      </c>
      <c r="E539" s="1686"/>
      <c r="F539" s="1868"/>
      <c r="G539" s="2871">
        <v>2475</v>
      </c>
      <c r="H539" s="2871">
        <v>2475</v>
      </c>
      <c r="I539" s="3123">
        <v>1430</v>
      </c>
      <c r="J539" s="3123">
        <v>1716</v>
      </c>
      <c r="K539" s="3207">
        <v>1888</v>
      </c>
      <c r="L539" s="3209">
        <v>1888</v>
      </c>
      <c r="M539" s="573"/>
      <c r="O539" s="606"/>
      <c r="P539" s="528"/>
      <c r="Q539" s="561"/>
    </row>
    <row r="540" spans="1:17" x14ac:dyDescent="0.2">
      <c r="A540" s="718">
        <v>637</v>
      </c>
      <c r="B540" s="43" t="s">
        <v>491</v>
      </c>
      <c r="C540" s="1143" t="s">
        <v>492</v>
      </c>
      <c r="D540" s="1868">
        <v>188</v>
      </c>
      <c r="E540" s="1686"/>
      <c r="F540" s="1868"/>
      <c r="G540" s="2871">
        <v>308</v>
      </c>
      <c r="H540" s="2871">
        <v>308</v>
      </c>
      <c r="I540" s="3123">
        <v>171</v>
      </c>
      <c r="J540" s="3123">
        <v>171</v>
      </c>
      <c r="K540" s="3207">
        <v>171</v>
      </c>
      <c r="L540" s="3209">
        <v>171</v>
      </c>
      <c r="M540" s="573"/>
      <c r="O540" s="606"/>
      <c r="P540" s="528"/>
      <c r="Q540" s="561"/>
    </row>
    <row r="541" spans="1:17" x14ac:dyDescent="0.2">
      <c r="A541" s="719">
        <v>637</v>
      </c>
      <c r="B541" s="85" t="s">
        <v>468</v>
      </c>
      <c r="C541" s="2204" t="s">
        <v>493</v>
      </c>
      <c r="D541" s="1639"/>
      <c r="E541" s="1449"/>
      <c r="F541" s="1639"/>
      <c r="G541" s="2868"/>
      <c r="H541" s="2868"/>
      <c r="I541" s="3123"/>
      <c r="J541" s="3123"/>
      <c r="K541" s="3207"/>
      <c r="L541" s="3208"/>
      <c r="M541" s="573"/>
      <c r="O541" s="606"/>
      <c r="P541" s="528"/>
      <c r="Q541" s="561"/>
    </row>
    <row r="542" spans="1:17" x14ac:dyDescent="0.2">
      <c r="A542" s="720">
        <v>637</v>
      </c>
      <c r="B542" s="712" t="s">
        <v>496</v>
      </c>
      <c r="C542" s="2201" t="s">
        <v>257</v>
      </c>
      <c r="D542" s="1639"/>
      <c r="E542" s="1883"/>
      <c r="F542" s="1639"/>
      <c r="G542" s="2870"/>
      <c r="H542" s="2870"/>
      <c r="I542" s="3123"/>
      <c r="J542" s="3123"/>
      <c r="K542" s="3216"/>
      <c r="L542" s="3208"/>
      <c r="M542" s="573"/>
      <c r="O542" s="606"/>
      <c r="P542" s="528"/>
      <c r="Q542" s="561"/>
    </row>
    <row r="543" spans="1:17" x14ac:dyDescent="0.2">
      <c r="A543" s="3777">
        <v>640</v>
      </c>
      <c r="B543" s="3778"/>
      <c r="C543" s="2205" t="s">
        <v>497</v>
      </c>
      <c r="D543" s="2097">
        <f>D544+D545+D548+D550+D555+D556</f>
        <v>6582</v>
      </c>
      <c r="E543" s="3217">
        <v>1007</v>
      </c>
      <c r="F543" s="3211">
        <v>839.55</v>
      </c>
      <c r="G543" s="3217">
        <f>G544+G545+G548+G550+G555+G556+G557</f>
        <v>7275</v>
      </c>
      <c r="H543" s="3218">
        <f>H544+H545+H548+H550+H555+H556</f>
        <v>7275</v>
      </c>
      <c r="I543" s="3219">
        <f>I544+I545+I548+I550+I555+I556+I547+I546</f>
        <v>6536</v>
      </c>
      <c r="J543" s="3213">
        <f>J544+J545+J548+J550+J555+J556+J546+J547</f>
        <v>9868</v>
      </c>
      <c r="K543" s="3220">
        <f>K544+K545+K548+K550+K555+K556+K547</f>
        <v>9790</v>
      </c>
      <c r="L543" s="3222">
        <f>L544+L545+L548+L550+L555+L556+L547</f>
        <v>9790</v>
      </c>
      <c r="M543" s="573"/>
      <c r="O543" s="606"/>
      <c r="P543" s="528"/>
      <c r="Q543" s="561"/>
    </row>
    <row r="544" spans="1:17" x14ac:dyDescent="0.2">
      <c r="A544" s="1681"/>
      <c r="B544" s="552"/>
      <c r="C544" s="2202" t="s">
        <v>729</v>
      </c>
      <c r="D544" s="1709">
        <v>2032</v>
      </c>
      <c r="E544" s="1704"/>
      <c r="F544" s="1709"/>
      <c r="G544" s="2867">
        <v>1393</v>
      </c>
      <c r="H544" s="2867">
        <v>1393</v>
      </c>
      <c r="I544" s="3223">
        <v>1063</v>
      </c>
      <c r="J544" s="3223">
        <v>1063</v>
      </c>
      <c r="K544" s="2291">
        <v>1063</v>
      </c>
      <c r="L544" s="1705">
        <v>1063</v>
      </c>
      <c r="M544" s="573"/>
      <c r="O544" s="606"/>
      <c r="P544" s="528"/>
      <c r="Q544" s="561"/>
    </row>
    <row r="545" spans="1:17" x14ac:dyDescent="0.2">
      <c r="A545" s="1681"/>
      <c r="B545" s="552"/>
      <c r="C545" s="2202" t="s">
        <v>735</v>
      </c>
      <c r="D545" s="1709">
        <v>400</v>
      </c>
      <c r="E545" s="1704"/>
      <c r="F545" s="1709"/>
      <c r="G545" s="2867">
        <v>132</v>
      </c>
      <c r="H545" s="2867">
        <v>132</v>
      </c>
      <c r="I545" s="3223">
        <v>183</v>
      </c>
      <c r="J545" s="3223">
        <v>183</v>
      </c>
      <c r="K545" s="2291">
        <v>183</v>
      </c>
      <c r="L545" s="1705">
        <v>183</v>
      </c>
      <c r="M545" s="573"/>
      <c r="O545" s="606"/>
      <c r="P545" s="528"/>
      <c r="Q545" s="561"/>
    </row>
    <row r="546" spans="1:17" x14ac:dyDescent="0.2">
      <c r="A546" s="1681"/>
      <c r="B546" s="552"/>
      <c r="C546" s="2202" t="s">
        <v>919</v>
      </c>
      <c r="D546" s="1709"/>
      <c r="E546" s="1704"/>
      <c r="F546" s="1709"/>
      <c r="G546" s="2867"/>
      <c r="H546" s="2867"/>
      <c r="I546" s="3223">
        <v>950</v>
      </c>
      <c r="J546" s="3223">
        <v>1000</v>
      </c>
      <c r="K546" s="2291"/>
      <c r="L546" s="1705"/>
      <c r="M546" s="573"/>
      <c r="O546" s="606"/>
      <c r="P546" s="528"/>
      <c r="Q546" s="561"/>
    </row>
    <row r="547" spans="1:17" x14ac:dyDescent="0.2">
      <c r="A547" s="1681"/>
      <c r="B547" s="552"/>
      <c r="C547" s="2202" t="s">
        <v>925</v>
      </c>
      <c r="D547" s="1709"/>
      <c r="E547" s="1704"/>
      <c r="F547" s="1709"/>
      <c r="G547" s="2867"/>
      <c r="H547" s="2867"/>
      <c r="I547" s="3223">
        <v>2000</v>
      </c>
      <c r="J547" s="3223">
        <v>2400</v>
      </c>
      <c r="K547" s="2291">
        <v>2600</v>
      </c>
      <c r="L547" s="1705">
        <v>2600</v>
      </c>
      <c r="M547" s="573"/>
      <c r="O547" s="606"/>
      <c r="P547" s="528"/>
      <c r="Q547" s="561"/>
    </row>
    <row r="548" spans="1:17" x14ac:dyDescent="0.2">
      <c r="A548" s="1681"/>
      <c r="B548" s="552"/>
      <c r="C548" s="2202" t="s">
        <v>730</v>
      </c>
      <c r="D548" s="1709">
        <v>800</v>
      </c>
      <c r="E548" s="1704"/>
      <c r="F548" s="1709"/>
      <c r="G548" s="2867">
        <v>2700</v>
      </c>
      <c r="H548" s="2867">
        <v>2700</v>
      </c>
      <c r="I548" s="3223">
        <v>0</v>
      </c>
      <c r="J548" s="3223">
        <v>1500</v>
      </c>
      <c r="K548" s="2291">
        <v>1800</v>
      </c>
      <c r="L548" s="1705">
        <v>1800</v>
      </c>
      <c r="M548" s="573"/>
      <c r="O548" s="606"/>
      <c r="P548" s="528"/>
      <c r="Q548" s="561"/>
    </row>
    <row r="549" spans="1:17" x14ac:dyDescent="0.2">
      <c r="A549" s="1681"/>
      <c r="B549" s="552"/>
      <c r="C549" s="2206" t="s">
        <v>747</v>
      </c>
      <c r="D549" s="1639">
        <v>800</v>
      </c>
      <c r="E549" s="1449"/>
      <c r="F549" s="1639"/>
      <c r="G549" s="2868"/>
      <c r="H549" s="2868"/>
      <c r="I549" s="3223"/>
      <c r="J549" s="3223"/>
      <c r="K549" s="2291"/>
      <c r="L549" s="1682"/>
      <c r="M549" s="573"/>
      <c r="O549" s="606"/>
      <c r="P549" s="528"/>
      <c r="Q549" s="561"/>
    </row>
    <row r="550" spans="1:17" x14ac:dyDescent="0.2">
      <c r="A550" s="1762"/>
      <c r="B550" s="1763"/>
      <c r="C550" s="2202" t="s">
        <v>591</v>
      </c>
      <c r="D550" s="1709">
        <f>D551+D552+D553+D554</f>
        <v>1880</v>
      </c>
      <c r="E550" s="1884"/>
      <c r="F550" s="1709"/>
      <c r="G550" s="2869"/>
      <c r="H550" s="2869"/>
      <c r="I550" s="3223">
        <v>538</v>
      </c>
      <c r="J550" s="3223">
        <v>1734</v>
      </c>
      <c r="K550" s="2113">
        <v>1907</v>
      </c>
      <c r="L550" s="1709">
        <v>1907</v>
      </c>
      <c r="M550" s="573"/>
      <c r="O550" s="606"/>
      <c r="P550" s="528"/>
      <c r="Q550" s="561"/>
    </row>
    <row r="551" spans="1:17" x14ac:dyDescent="0.2">
      <c r="A551" s="1807"/>
      <c r="B551" s="1693"/>
      <c r="C551" s="2202" t="s">
        <v>748</v>
      </c>
      <c r="D551" s="1639">
        <v>297</v>
      </c>
      <c r="E551" s="1883"/>
      <c r="F551" s="1639"/>
      <c r="G551" s="2870"/>
      <c r="H551" s="2870"/>
      <c r="I551" s="3223"/>
      <c r="J551" s="3223"/>
      <c r="K551" s="2113"/>
      <c r="L551" s="1639"/>
      <c r="M551" s="573"/>
      <c r="O551" s="606"/>
      <c r="P551" s="528"/>
      <c r="Q551" s="561"/>
    </row>
    <row r="552" spans="1:17" x14ac:dyDescent="0.2">
      <c r="A552" s="1697"/>
      <c r="B552" s="1650"/>
      <c r="C552" s="2202" t="s">
        <v>743</v>
      </c>
      <c r="D552" s="1639">
        <v>105</v>
      </c>
      <c r="E552" s="1883"/>
      <c r="F552" s="1639"/>
      <c r="G552" s="2870"/>
      <c r="H552" s="2870"/>
      <c r="I552" s="3223"/>
      <c r="J552" s="3223"/>
      <c r="K552" s="2113"/>
      <c r="L552" s="1639"/>
      <c r="M552" s="573"/>
      <c r="O552" s="606"/>
      <c r="P552" s="528"/>
      <c r="Q552" s="561"/>
    </row>
    <row r="553" spans="1:17" x14ac:dyDescent="0.2">
      <c r="A553" s="1807"/>
      <c r="B553" s="1693"/>
      <c r="C553" s="2202" t="s">
        <v>749</v>
      </c>
      <c r="D553" s="1639">
        <v>283</v>
      </c>
      <c r="E553" s="1883"/>
      <c r="F553" s="1639"/>
      <c r="G553" s="2870"/>
      <c r="H553" s="2870"/>
      <c r="I553" s="3223"/>
      <c r="J553" s="3223"/>
      <c r="K553" s="2113"/>
      <c r="L553" s="1639"/>
      <c r="M553" s="573"/>
      <c r="O553" s="606"/>
      <c r="P553" s="528"/>
      <c r="Q553" s="561"/>
    </row>
    <row r="554" spans="1:17" x14ac:dyDescent="0.2">
      <c r="A554" s="1697"/>
      <c r="B554" s="1650"/>
      <c r="C554" s="2202" t="s">
        <v>740</v>
      </c>
      <c r="D554" s="1639">
        <v>1195</v>
      </c>
      <c r="E554" s="1883"/>
      <c r="F554" s="1639"/>
      <c r="G554" s="2870"/>
      <c r="H554" s="2870"/>
      <c r="I554" s="3223"/>
      <c r="J554" s="3223"/>
      <c r="K554" s="2113"/>
      <c r="L554" s="1639"/>
      <c r="M554" s="573"/>
      <c r="O554" s="606"/>
      <c r="P554" s="528"/>
      <c r="Q554" s="561"/>
    </row>
    <row r="555" spans="1:17" x14ac:dyDescent="0.2">
      <c r="A555" s="3773"/>
      <c r="B555" s="3774"/>
      <c r="C555" s="2202" t="s">
        <v>662</v>
      </c>
      <c r="D555" s="1709">
        <v>70</v>
      </c>
      <c r="E555" s="1884"/>
      <c r="F555" s="1709"/>
      <c r="G555" s="2869">
        <v>2600</v>
      </c>
      <c r="H555" s="2869">
        <v>2600</v>
      </c>
      <c r="I555" s="3223">
        <v>1352</v>
      </c>
      <c r="J555" s="3223">
        <v>1488</v>
      </c>
      <c r="K555" s="2113">
        <v>1637</v>
      </c>
      <c r="L555" s="1709">
        <v>1637</v>
      </c>
      <c r="M555" s="573"/>
      <c r="O555" s="606"/>
      <c r="P555" s="528"/>
      <c r="Q555" s="561"/>
    </row>
    <row r="556" spans="1:17" x14ac:dyDescent="0.2">
      <c r="A556" s="3773"/>
      <c r="B556" s="3774"/>
      <c r="C556" s="2202" t="s">
        <v>731</v>
      </c>
      <c r="D556" s="1709">
        <v>1400</v>
      </c>
      <c r="E556" s="1884"/>
      <c r="F556" s="1709"/>
      <c r="G556" s="2869">
        <v>450</v>
      </c>
      <c r="H556" s="2869">
        <v>450</v>
      </c>
      <c r="I556" s="3223">
        <v>450</v>
      </c>
      <c r="J556" s="3223">
        <v>500</v>
      </c>
      <c r="K556" s="2113">
        <v>600</v>
      </c>
      <c r="L556" s="1709">
        <v>600</v>
      </c>
      <c r="M556" s="573"/>
      <c r="O556" s="606"/>
      <c r="P556" s="528"/>
      <c r="Q556" s="561"/>
    </row>
    <row r="557" spans="1:17" ht="13.5" thickBot="1" x14ac:dyDescent="0.25">
      <c r="A557" s="3773"/>
      <c r="B557" s="3774"/>
      <c r="C557" s="2202" t="s">
        <v>905</v>
      </c>
      <c r="D557" s="1639">
        <v>1400</v>
      </c>
      <c r="E557" s="2250">
        <v>1014</v>
      </c>
      <c r="F557" s="1868">
        <v>89</v>
      </c>
      <c r="G557" s="2870"/>
      <c r="H557" s="2870"/>
      <c r="I557" s="3123">
        <v>245</v>
      </c>
      <c r="J557" s="3123">
        <v>0</v>
      </c>
      <c r="K557" s="2113"/>
      <c r="L557" s="1639"/>
      <c r="M557" s="573"/>
      <c r="O557" s="606"/>
      <c r="P557" s="528"/>
      <c r="Q557" s="561"/>
    </row>
    <row r="558" spans="1:17" hidden="1" x14ac:dyDescent="0.2">
      <c r="A558" s="1807"/>
      <c r="B558" s="1693"/>
      <c r="C558" s="1706"/>
      <c r="D558" s="1639"/>
      <c r="E558" s="1710"/>
      <c r="F558" s="2215"/>
      <c r="G558" s="1710"/>
      <c r="H558" s="1886"/>
      <c r="I558" s="2431"/>
      <c r="J558" s="2322"/>
      <c r="K558" s="2295"/>
      <c r="L558" s="1708"/>
      <c r="M558" s="573"/>
      <c r="O558" s="606"/>
      <c r="P558" s="528"/>
      <c r="Q558" s="561"/>
    </row>
    <row r="559" spans="1:17" hidden="1" x14ac:dyDescent="0.2">
      <c r="A559" s="1808"/>
      <c r="B559" s="561"/>
      <c r="C559" s="561"/>
      <c r="D559" s="1846"/>
      <c r="E559" s="1885"/>
      <c r="F559" s="2217"/>
      <c r="G559" s="1885"/>
      <c r="H559" s="1887"/>
      <c r="I559" s="2432"/>
      <c r="J559" s="2322"/>
      <c r="K559" s="2296"/>
      <c r="L559" s="625"/>
      <c r="M559" s="573"/>
      <c r="O559" s="606"/>
      <c r="P559" s="528"/>
      <c r="Q559" s="561"/>
    </row>
    <row r="560" spans="1:17" hidden="1" x14ac:dyDescent="0.2">
      <c r="A560" s="1808"/>
      <c r="B560" s="561"/>
      <c r="D560" s="2438"/>
      <c r="F560" s="2438"/>
      <c r="G560" s="16"/>
      <c r="H560" s="1888"/>
      <c r="I560" s="2433"/>
      <c r="J560" s="2357"/>
      <c r="K560" s="2297"/>
      <c r="L560" s="16"/>
      <c r="M560" s="573"/>
      <c r="O560" s="606"/>
      <c r="P560" s="528"/>
      <c r="Q560" s="561"/>
    </row>
    <row r="561" spans="1:18" s="596" customFormat="1" ht="13.5" thickBot="1" x14ac:dyDescent="0.25">
      <c r="A561" s="2409" t="s">
        <v>592</v>
      </c>
      <c r="B561" s="2410"/>
      <c r="C561" s="2410" t="s">
        <v>399</v>
      </c>
      <c r="D561" s="2411">
        <f>D562+D564+D565</f>
        <v>78781</v>
      </c>
      <c r="E561" s="2412">
        <f>SUM(E562,E564,E563,E565)</f>
        <v>110482</v>
      </c>
      <c r="F561" s="2442">
        <f>SUM(F562,F564,F565)+F563</f>
        <v>96181</v>
      </c>
      <c r="G561" s="2412">
        <f>SUM(G562,G564,G563,G565)</f>
        <v>119075</v>
      </c>
      <c r="H561" s="2415">
        <f>SUM(H562,H564,H565)+H563</f>
        <v>117090</v>
      </c>
      <c r="I561" s="2416">
        <f>SUM(I562,I564,I565)+I563</f>
        <v>88417</v>
      </c>
      <c r="J561" s="2417">
        <f>SUM(J562,J564,J565)+J563</f>
        <v>93417</v>
      </c>
      <c r="K561" s="2443">
        <f>SUM(K562,K564,K565)</f>
        <v>125525</v>
      </c>
      <c r="L561" s="2444">
        <f>SUM(L562,L564,L565)+L563</f>
        <v>125525</v>
      </c>
      <c r="M561" s="602"/>
      <c r="N561" s="584"/>
      <c r="O561" s="530"/>
      <c r="P561" s="530"/>
      <c r="Q561" s="530"/>
    </row>
    <row r="562" spans="1:18" x14ac:dyDescent="0.2">
      <c r="A562" s="2439">
        <v>610</v>
      </c>
      <c r="B562" s="2440"/>
      <c r="C562" s="2441" t="s">
        <v>449</v>
      </c>
      <c r="D562" s="1643">
        <v>30200</v>
      </c>
      <c r="E562" s="877">
        <v>40751</v>
      </c>
      <c r="F562" s="1643">
        <v>44783</v>
      </c>
      <c r="G562" s="877">
        <v>52000</v>
      </c>
      <c r="H562" s="2898">
        <v>52000</v>
      </c>
      <c r="I562" s="2358">
        <v>43000</v>
      </c>
      <c r="J562" s="2358">
        <v>43000</v>
      </c>
      <c r="K562" s="3230">
        <v>53500</v>
      </c>
      <c r="L562" s="3127">
        <v>53500</v>
      </c>
      <c r="M562" s="73"/>
      <c r="O562" s="73"/>
      <c r="P562" s="65"/>
      <c r="Q562" s="73"/>
    </row>
    <row r="563" spans="1:18" x14ac:dyDescent="0.2">
      <c r="A563" s="1115"/>
      <c r="B563" s="636"/>
      <c r="C563" s="1636"/>
      <c r="D563" s="1433">
        <v>0</v>
      </c>
      <c r="E563" s="2169">
        <v>0</v>
      </c>
      <c r="F563" s="1433">
        <v>0</v>
      </c>
      <c r="G563" s="2169">
        <v>0</v>
      </c>
      <c r="H563" s="2899">
        <v>0</v>
      </c>
      <c r="I563" s="2322">
        <v>0</v>
      </c>
      <c r="J563" s="2322">
        <v>0</v>
      </c>
      <c r="K563" s="2299">
        <v>0</v>
      </c>
      <c r="L563" s="3128">
        <v>0</v>
      </c>
      <c r="M563" s="73"/>
      <c r="O563" s="73"/>
      <c r="P563" s="65"/>
      <c r="Q563" s="73"/>
    </row>
    <row r="564" spans="1:18" x14ac:dyDescent="0.2">
      <c r="A564" s="1115">
        <v>620</v>
      </c>
      <c r="B564" s="634"/>
      <c r="C564" s="2207" t="s">
        <v>194</v>
      </c>
      <c r="D564" s="1433">
        <v>11170</v>
      </c>
      <c r="E564" s="2169">
        <v>14935</v>
      </c>
      <c r="F564" s="1433">
        <v>16192</v>
      </c>
      <c r="G564" s="2169">
        <v>18890</v>
      </c>
      <c r="H564" s="2899">
        <v>18890</v>
      </c>
      <c r="I564" s="2322">
        <v>15000</v>
      </c>
      <c r="J564" s="2322">
        <v>15000</v>
      </c>
      <c r="K564" s="2299">
        <v>24640</v>
      </c>
      <c r="L564" s="3128">
        <v>24640</v>
      </c>
      <c r="M564" s="73"/>
      <c r="O564" s="73"/>
      <c r="P564" s="65"/>
      <c r="Q564" s="73"/>
    </row>
    <row r="565" spans="1:18" x14ac:dyDescent="0.2">
      <c r="A565" s="1635">
        <v>630</v>
      </c>
      <c r="B565" s="635"/>
      <c r="C565" s="1637" t="s">
        <v>363</v>
      </c>
      <c r="D565" s="1433">
        <f>SUM(D566,D567,D569,D573,D570,D571)+D574+D568</f>
        <v>37411</v>
      </c>
      <c r="E565" s="2169">
        <f>SUM(E566,E567,E569,E573,E570,E571)+E574+E568+E572</f>
        <v>54796</v>
      </c>
      <c r="F565" s="1433">
        <f>SUM(F566,F567,F569,F573,F570,F571)+F574+F568+F572</f>
        <v>35206</v>
      </c>
      <c r="G565" s="2169">
        <f>SUM(G566,G567,G569,G573,G570,G571)+G574+G568+G572</f>
        <v>48185</v>
      </c>
      <c r="H565" s="2899">
        <f>SUM(H566,H567,H569,H573,H570,H571)+H574+H568+H572</f>
        <v>46200</v>
      </c>
      <c r="I565" s="2322">
        <f>SUM(I566,I567,I569,I573,I570,I571)+I574+I568</f>
        <v>30417</v>
      </c>
      <c r="J565" s="2322">
        <f>SUM(J566,J567,J569,J573,J570,J571)+J574+J568</f>
        <v>35417</v>
      </c>
      <c r="K565" s="2299">
        <f>SUM(K566,K567,K569,K573,K570,K571)+K574+K568+K572</f>
        <v>47385</v>
      </c>
      <c r="L565" s="3128">
        <f>SUM(L566,L567,L569,L573,L570,L571)+L574+L568+L572</f>
        <v>47385</v>
      </c>
      <c r="M565" s="73"/>
      <c r="O565" s="65"/>
      <c r="P565" s="65"/>
      <c r="Q565" s="73"/>
    </row>
    <row r="566" spans="1:18" x14ac:dyDescent="0.2">
      <c r="A566" s="719">
        <v>632</v>
      </c>
      <c r="B566" s="85"/>
      <c r="C566" s="1150" t="s">
        <v>593</v>
      </c>
      <c r="D566" s="1641">
        <v>6800</v>
      </c>
      <c r="E566" s="2171">
        <v>5611</v>
      </c>
      <c r="F566" s="1641">
        <v>5542</v>
      </c>
      <c r="G566" s="2864">
        <v>7985</v>
      </c>
      <c r="H566" s="2864">
        <v>6000</v>
      </c>
      <c r="I566" s="3123">
        <v>6000</v>
      </c>
      <c r="J566" s="3123">
        <v>6000</v>
      </c>
      <c r="K566" s="3224">
        <v>8185</v>
      </c>
      <c r="L566" s="3225">
        <v>8185</v>
      </c>
      <c r="M566" s="581"/>
      <c r="O566" s="581"/>
      <c r="P566" s="572"/>
      <c r="Q566" s="581"/>
    </row>
    <row r="567" spans="1:18" x14ac:dyDescent="0.2">
      <c r="A567" s="718">
        <v>633</v>
      </c>
      <c r="B567" s="43"/>
      <c r="C567" s="1143" t="s">
        <v>357</v>
      </c>
      <c r="D567" s="1641">
        <v>1451</v>
      </c>
      <c r="E567" s="2171">
        <v>2777</v>
      </c>
      <c r="F567" s="1641">
        <v>1864</v>
      </c>
      <c r="G567" s="2864">
        <v>2000</v>
      </c>
      <c r="H567" s="2864">
        <v>2000</v>
      </c>
      <c r="I567" s="3123">
        <v>2000</v>
      </c>
      <c r="J567" s="3123">
        <v>2000</v>
      </c>
      <c r="K567" s="3224">
        <v>2000</v>
      </c>
      <c r="L567" s="3225">
        <v>2000</v>
      </c>
      <c r="M567" s="581"/>
      <c r="O567" s="603"/>
      <c r="P567" s="572"/>
      <c r="Q567" s="581"/>
    </row>
    <row r="568" spans="1:18" x14ac:dyDescent="0.2">
      <c r="A568" s="1675">
        <v>633</v>
      </c>
      <c r="B568" s="566" t="s">
        <v>97</v>
      </c>
      <c r="C568" s="1151" t="s">
        <v>456</v>
      </c>
      <c r="D568" s="1641">
        <v>0</v>
      </c>
      <c r="E568" s="2171">
        <v>1075</v>
      </c>
      <c r="F568" s="1641">
        <v>0</v>
      </c>
      <c r="G568" s="2864">
        <v>0</v>
      </c>
      <c r="H568" s="2864">
        <v>0</v>
      </c>
      <c r="I568" s="3123">
        <v>0</v>
      </c>
      <c r="J568" s="3123">
        <v>0</v>
      </c>
      <c r="K568" s="3224">
        <v>0</v>
      </c>
      <c r="L568" s="3225">
        <v>0</v>
      </c>
      <c r="M568" s="581"/>
      <c r="O568" s="603"/>
      <c r="P568" s="572"/>
      <c r="Q568" s="581"/>
    </row>
    <row r="569" spans="1:18" x14ac:dyDescent="0.2">
      <c r="A569" s="1675">
        <v>633</v>
      </c>
      <c r="B569" s="566" t="s">
        <v>465</v>
      </c>
      <c r="C569" s="1151" t="s">
        <v>387</v>
      </c>
      <c r="D569" s="1641">
        <v>27000</v>
      </c>
      <c r="E569" s="2171">
        <v>40188</v>
      </c>
      <c r="F569" s="1641">
        <v>25965</v>
      </c>
      <c r="G569" s="2864">
        <v>35000</v>
      </c>
      <c r="H569" s="2864">
        <v>35000</v>
      </c>
      <c r="I569" s="3123">
        <v>20000</v>
      </c>
      <c r="J569" s="3123">
        <v>25000</v>
      </c>
      <c r="K569" s="3224">
        <v>35000</v>
      </c>
      <c r="L569" s="3225">
        <v>35000</v>
      </c>
      <c r="M569" s="581"/>
      <c r="O569" s="581"/>
      <c r="P569" s="572"/>
      <c r="Q569" s="73"/>
    </row>
    <row r="570" spans="1:18" x14ac:dyDescent="0.2">
      <c r="A570" s="718">
        <v>633</v>
      </c>
      <c r="B570" s="43" t="s">
        <v>111</v>
      </c>
      <c r="C570" s="1414" t="s">
        <v>594</v>
      </c>
      <c r="D570" s="1641">
        <v>280</v>
      </c>
      <c r="E570" s="2171">
        <v>2250</v>
      </c>
      <c r="F570" s="1641">
        <v>385</v>
      </c>
      <c r="G570" s="2864">
        <v>1000</v>
      </c>
      <c r="H570" s="2864">
        <v>1000</v>
      </c>
      <c r="I570" s="3123">
        <v>1117</v>
      </c>
      <c r="J570" s="3123">
        <v>1117</v>
      </c>
      <c r="K570" s="3224">
        <v>500</v>
      </c>
      <c r="L570" s="3225">
        <v>500</v>
      </c>
      <c r="M570" s="581"/>
      <c r="O570" s="581"/>
      <c r="P570" s="572"/>
      <c r="Q570" s="73"/>
    </row>
    <row r="571" spans="1:18" x14ac:dyDescent="0.2">
      <c r="A571" s="718">
        <v>635</v>
      </c>
      <c r="B571" s="43"/>
      <c r="C571" s="1414" t="s">
        <v>595</v>
      </c>
      <c r="D571" s="1641">
        <v>1100</v>
      </c>
      <c r="E571" s="2171"/>
      <c r="F571" s="1641">
        <v>220</v>
      </c>
      <c r="G571" s="2864">
        <v>500</v>
      </c>
      <c r="H571" s="2864">
        <v>500</v>
      </c>
      <c r="I571" s="3123">
        <v>500</v>
      </c>
      <c r="J571" s="3123">
        <v>500</v>
      </c>
      <c r="K571" s="3224">
        <v>500</v>
      </c>
      <c r="L571" s="3225">
        <v>500</v>
      </c>
      <c r="M571" s="581"/>
      <c r="O571" s="581"/>
      <c r="P571" s="572"/>
      <c r="Q571" s="73"/>
    </row>
    <row r="572" spans="1:18" x14ac:dyDescent="0.2">
      <c r="A572" s="718">
        <v>636</v>
      </c>
      <c r="B572" s="43"/>
      <c r="C572" s="1414" t="s">
        <v>778</v>
      </c>
      <c r="D572" s="1641"/>
      <c r="E572" s="2171">
        <v>1400</v>
      </c>
      <c r="F572" s="1641">
        <v>1000</v>
      </c>
      <c r="G572" s="2865">
        <v>1000</v>
      </c>
      <c r="H572" s="2865">
        <v>1000</v>
      </c>
      <c r="I572" s="3123">
        <v>1000</v>
      </c>
      <c r="J572" s="3123">
        <v>1000</v>
      </c>
      <c r="K572" s="3226">
        <v>1000</v>
      </c>
      <c r="L572" s="3227">
        <v>1000</v>
      </c>
      <c r="M572" s="581"/>
      <c r="O572" s="581"/>
      <c r="P572" s="572"/>
      <c r="Q572" s="73"/>
    </row>
    <row r="573" spans="1:18" x14ac:dyDescent="0.2">
      <c r="A573" s="1678">
        <v>637</v>
      </c>
      <c r="B573" s="36"/>
      <c r="C573" s="1134" t="s">
        <v>208</v>
      </c>
      <c r="D573" s="1641">
        <v>780</v>
      </c>
      <c r="E573" s="2171">
        <v>1209</v>
      </c>
      <c r="F573" s="1641">
        <v>199</v>
      </c>
      <c r="G573" s="2865">
        <v>700</v>
      </c>
      <c r="H573" s="2865">
        <v>700</v>
      </c>
      <c r="I573" s="3123">
        <v>800</v>
      </c>
      <c r="J573" s="3123">
        <v>800</v>
      </c>
      <c r="K573" s="3226">
        <v>200</v>
      </c>
      <c r="L573" s="3227">
        <v>200</v>
      </c>
      <c r="M573" s="581"/>
      <c r="O573" s="603"/>
      <c r="P573" s="572"/>
      <c r="Q573" s="73"/>
      <c r="R573" s="587"/>
    </row>
    <row r="574" spans="1:18" ht="13.5" thickBot="1" x14ac:dyDescent="0.25">
      <c r="A574" s="1671">
        <v>642</v>
      </c>
      <c r="B574" s="64"/>
      <c r="C574" s="1135" t="s">
        <v>303</v>
      </c>
      <c r="D574" s="2220">
        <v>0</v>
      </c>
      <c r="E574" s="2259">
        <v>286</v>
      </c>
      <c r="F574" s="2220">
        <v>31</v>
      </c>
      <c r="G574" s="2866">
        <v>0</v>
      </c>
      <c r="H574" s="2866">
        <v>0</v>
      </c>
      <c r="I574" s="3199">
        <v>0</v>
      </c>
      <c r="J574" s="3199">
        <v>0</v>
      </c>
      <c r="K574" s="3228">
        <v>0</v>
      </c>
      <c r="L574" s="3229">
        <v>0</v>
      </c>
      <c r="M574" s="581"/>
      <c r="O574" s="603"/>
      <c r="P574" s="572"/>
      <c r="Q574" s="73"/>
      <c r="R574" s="587"/>
    </row>
    <row r="575" spans="1:18" ht="13.5" thickBot="1" x14ac:dyDescent="0.25">
      <c r="A575" s="2409" t="s">
        <v>799</v>
      </c>
      <c r="B575" s="2410"/>
      <c r="C575" s="2410" t="s">
        <v>760</v>
      </c>
      <c r="D575" s="2378">
        <f t="shared" ref="D575:L575" si="69">D576</f>
        <v>300</v>
      </c>
      <c r="E575" s="2379">
        <f t="shared" si="69"/>
        <v>25843</v>
      </c>
      <c r="F575" s="2378">
        <f t="shared" si="69"/>
        <v>0</v>
      </c>
      <c r="G575" s="2428">
        <f t="shared" si="69"/>
        <v>26040</v>
      </c>
      <c r="H575" s="2429">
        <f t="shared" si="69"/>
        <v>26040</v>
      </c>
      <c r="I575" s="2436">
        <f t="shared" si="69"/>
        <v>0</v>
      </c>
      <c r="J575" s="2437">
        <f t="shared" si="69"/>
        <v>0</v>
      </c>
      <c r="K575" s="2428">
        <f t="shared" si="69"/>
        <v>25300</v>
      </c>
      <c r="L575" s="2430">
        <f t="shared" si="69"/>
        <v>25300</v>
      </c>
      <c r="M575" s="581"/>
      <c r="O575" s="603"/>
      <c r="P575" s="572"/>
      <c r="Q575" s="73"/>
      <c r="R575" s="587"/>
    </row>
    <row r="576" spans="1:18" ht="13.5" thickBot="1" x14ac:dyDescent="0.25">
      <c r="A576" s="3807">
        <v>640</v>
      </c>
      <c r="B576" s="3808"/>
      <c r="C576" s="2419" t="s">
        <v>497</v>
      </c>
      <c r="D576" s="2425">
        <v>300</v>
      </c>
      <c r="E576" s="581">
        <v>25843</v>
      </c>
      <c r="F576" s="1799">
        <v>0</v>
      </c>
      <c r="G576" s="2426">
        <v>26040</v>
      </c>
      <c r="H576" s="1799">
        <v>26040</v>
      </c>
      <c r="I576" s="1799">
        <v>0</v>
      </c>
      <c r="J576" s="2311">
        <v>0</v>
      </c>
      <c r="K576" s="2427">
        <v>25300</v>
      </c>
      <c r="L576" s="1804">
        <v>25300</v>
      </c>
      <c r="M576" s="581"/>
      <c r="O576" s="603"/>
      <c r="P576" s="572"/>
      <c r="Q576" s="73"/>
      <c r="R576" s="587"/>
    </row>
    <row r="577" spans="1:18" ht="13.5" thickBot="1" x14ac:dyDescent="0.25">
      <c r="A577" s="2396" t="s">
        <v>596</v>
      </c>
      <c r="B577" s="2397"/>
      <c r="C577" s="2398" t="s">
        <v>445</v>
      </c>
      <c r="D577" s="2420">
        <f>D382+D437+D561+D575</f>
        <v>1020564</v>
      </c>
      <c r="E577" s="2421">
        <f>SUM(E382,E437,E561)+E575</f>
        <v>1155857.3599999999</v>
      </c>
      <c r="F577" s="2422">
        <f>F382+F437+F561+F575</f>
        <v>1304230.74</v>
      </c>
      <c r="G577" s="2423">
        <f>SUM(G382,G437,G561)+G575</f>
        <v>1396375</v>
      </c>
      <c r="H577" s="2402">
        <f>SUM(H382,H437,H561)+H575</f>
        <v>1395630</v>
      </c>
      <c r="I577" s="2402">
        <f>SUM(I382,I437,I561)+I575</f>
        <v>1330603</v>
      </c>
      <c r="J577" s="2424">
        <f>SUM(J382,J437,J561)+J575</f>
        <v>1348321</v>
      </c>
      <c r="K577" s="2404">
        <f>SUM(K382,K437,K561)+K575</f>
        <v>1536648</v>
      </c>
      <c r="L577" s="2405">
        <f>L382+L438+L503+L561+L575</f>
        <v>1594478</v>
      </c>
      <c r="M577" s="90"/>
      <c r="N577" s="65"/>
      <c r="O577" s="530"/>
      <c r="P577" s="530"/>
      <c r="Q577" s="530"/>
    </row>
    <row r="578" spans="1:18" hidden="1" x14ac:dyDescent="0.2">
      <c r="A578" s="65"/>
      <c r="B578" s="65"/>
      <c r="C578" s="65"/>
      <c r="D578" s="65"/>
      <c r="E578" s="65"/>
      <c r="F578" s="65"/>
      <c r="G578" s="47"/>
      <c r="H578" s="588"/>
      <c r="I578" s="588"/>
      <c r="J578" s="2313"/>
      <c r="K578" s="47"/>
      <c r="L578" s="47"/>
    </row>
    <row r="579" spans="1:18" x14ac:dyDescent="0.2">
      <c r="A579" s="65"/>
      <c r="B579" s="65"/>
      <c r="C579" s="65"/>
      <c r="D579" s="65"/>
      <c r="E579" s="65"/>
      <c r="F579" s="65"/>
      <c r="G579" s="47"/>
      <c r="H579" s="588"/>
      <c r="I579" s="588"/>
      <c r="J579" s="3013"/>
      <c r="K579" s="47"/>
      <c r="L579" s="47"/>
    </row>
    <row r="580" spans="1:18" hidden="1" x14ac:dyDescent="0.2">
      <c r="A580" s="65"/>
      <c r="B580" s="65"/>
      <c r="C580" s="65"/>
      <c r="D580" s="65"/>
      <c r="E580" s="65"/>
      <c r="F580" s="65"/>
      <c r="G580" s="47"/>
      <c r="H580" s="588"/>
      <c r="I580" s="588"/>
      <c r="J580" s="2313"/>
      <c r="K580" s="47"/>
      <c r="L580" s="47"/>
    </row>
    <row r="581" spans="1:18" hidden="1" x14ac:dyDescent="0.2">
      <c r="A581" s="65"/>
      <c r="B581" s="65"/>
      <c r="C581" s="65"/>
      <c r="D581" s="65"/>
      <c r="E581" s="65"/>
      <c r="F581" s="65"/>
      <c r="G581" s="47"/>
      <c r="H581" s="588"/>
      <c r="I581" s="588"/>
      <c r="J581" s="2313"/>
      <c r="K581" s="47"/>
      <c r="L581" s="47"/>
    </row>
    <row r="582" spans="1:18" hidden="1" x14ac:dyDescent="0.2">
      <c r="A582" s="65"/>
      <c r="B582" s="65"/>
      <c r="C582" s="65"/>
      <c r="D582" s="65"/>
      <c r="E582" s="65"/>
      <c r="F582" s="65"/>
      <c r="G582" s="47"/>
      <c r="H582" s="588"/>
      <c r="I582" s="588"/>
      <c r="J582" s="2313"/>
      <c r="K582" s="47"/>
      <c r="L582" s="47"/>
    </row>
    <row r="583" spans="1:18" ht="13.5" thickBot="1" x14ac:dyDescent="0.25">
      <c r="A583" s="65"/>
      <c r="B583" s="65"/>
      <c r="C583" s="65"/>
      <c r="D583" s="65"/>
      <c r="E583" s="65"/>
      <c r="F583" s="65"/>
      <c r="G583" s="47"/>
      <c r="H583" s="3795" t="s">
        <v>597</v>
      </c>
      <c r="I583" s="3795"/>
      <c r="J583" s="3795"/>
      <c r="K583" s="3795"/>
      <c r="L583" s="3795"/>
      <c r="M583" s="129"/>
      <c r="N583" s="129"/>
      <c r="O583" s="129"/>
      <c r="P583" s="129"/>
      <c r="Q583" s="129"/>
    </row>
    <row r="584" spans="1:18" ht="13.5" hidden="1" thickBot="1" x14ac:dyDescent="0.25">
      <c r="A584" s="65"/>
      <c r="B584" s="65"/>
      <c r="C584" s="65"/>
      <c r="D584" s="65"/>
      <c r="E584" s="65"/>
      <c r="F584" s="65"/>
      <c r="G584" s="47"/>
      <c r="H584" s="588"/>
      <c r="I584" s="588"/>
      <c r="J584" s="2313"/>
      <c r="K584" s="47"/>
      <c r="L584" s="47"/>
    </row>
    <row r="585" spans="1:18" s="592" customFormat="1" ht="23.25" thickBot="1" x14ac:dyDescent="0.25">
      <c r="A585" s="2352" t="s">
        <v>433</v>
      </c>
      <c r="B585" s="2353"/>
      <c r="C585" s="2354"/>
      <c r="D585" s="2355">
        <v>2018</v>
      </c>
      <c r="E585" s="3174" t="s">
        <v>825</v>
      </c>
      <c r="F585" s="3175" t="s">
        <v>958</v>
      </c>
      <c r="G585" s="2356">
        <v>2021</v>
      </c>
      <c r="H585" s="2343" t="s">
        <v>873</v>
      </c>
      <c r="I585" s="2343" t="s">
        <v>929</v>
      </c>
      <c r="J585" s="3113">
        <v>2022</v>
      </c>
      <c r="K585" s="2344">
        <v>2023</v>
      </c>
      <c r="L585" s="2345">
        <v>2024</v>
      </c>
      <c r="M585" s="589"/>
      <c r="N585" s="590"/>
      <c r="O585" s="591"/>
      <c r="P585" s="526"/>
      <c r="Q585" s="527"/>
    </row>
    <row r="586" spans="1:18" s="139" customFormat="1" ht="12" thickBot="1" x14ac:dyDescent="0.25">
      <c r="A586" s="2409" t="s">
        <v>598</v>
      </c>
      <c r="B586" s="2410"/>
      <c r="C586" s="2410"/>
      <c r="D586" s="2411">
        <f>SUM(D587:D592)</f>
        <v>17050</v>
      </c>
      <c r="E586" s="2412">
        <f>E587+E588+E590+E591+E592</f>
        <v>13755</v>
      </c>
      <c r="F586" s="2413">
        <f>F587+F588+F590+F591+F592+F589</f>
        <v>16377</v>
      </c>
      <c r="G586" s="2414">
        <f>G587+G588+G590+G591+G592</f>
        <v>15600</v>
      </c>
      <c r="H586" s="2415">
        <f>H587+H588+H590+H591+H592+H589</f>
        <v>15600</v>
      </c>
      <c r="I586" s="2416">
        <f>I587+I588+I590+I591+I592+I589</f>
        <v>13160</v>
      </c>
      <c r="J586" s="2417">
        <f>J587+J588+J590+J591+J592+J589</f>
        <v>13160</v>
      </c>
      <c r="K586" s="2418">
        <f>K587+K588+K590+K591+K592+K589</f>
        <v>16100</v>
      </c>
      <c r="L586" s="2414">
        <f>L587+L588+L590+L591+L592+L589</f>
        <v>16100</v>
      </c>
      <c r="M586" s="602"/>
      <c r="N586" s="119"/>
      <c r="O586" s="530"/>
      <c r="P586" s="530"/>
      <c r="Q586" s="530"/>
    </row>
    <row r="587" spans="1:18" x14ac:dyDescent="0.2">
      <c r="A587" s="1645" t="s">
        <v>599</v>
      </c>
      <c r="B587" s="556"/>
      <c r="C587" s="2179" t="s">
        <v>411</v>
      </c>
      <c r="D587" s="1849">
        <v>2300</v>
      </c>
      <c r="E587" s="1889">
        <v>1075</v>
      </c>
      <c r="F587" s="1849">
        <v>1186</v>
      </c>
      <c r="G587" s="2856">
        <v>2000</v>
      </c>
      <c r="H587" s="2856">
        <v>2000</v>
      </c>
      <c r="I587" s="2358">
        <v>500</v>
      </c>
      <c r="J587" s="2358">
        <v>500</v>
      </c>
      <c r="K587" s="2082">
        <v>2500</v>
      </c>
      <c r="L587" s="2374">
        <v>2500</v>
      </c>
      <c r="M587" s="89"/>
      <c r="N587" s="21"/>
      <c r="O587" s="73"/>
      <c r="P587" s="65"/>
      <c r="Q587" s="65"/>
    </row>
    <row r="588" spans="1:18" x14ac:dyDescent="0.2">
      <c r="A588" s="722" t="s">
        <v>599</v>
      </c>
      <c r="B588" s="36"/>
      <c r="C588" s="1105" t="s">
        <v>412</v>
      </c>
      <c r="D588" s="1528">
        <v>12000</v>
      </c>
      <c r="E588" s="1805">
        <v>11140</v>
      </c>
      <c r="F588" s="1528">
        <v>11480</v>
      </c>
      <c r="G588" s="2857">
        <v>12000</v>
      </c>
      <c r="H588" s="2857">
        <v>12000</v>
      </c>
      <c r="I588" s="2322">
        <v>11060</v>
      </c>
      <c r="J588" s="2322">
        <v>11060</v>
      </c>
      <c r="K588" s="2062">
        <v>12000</v>
      </c>
      <c r="L588" s="1892">
        <v>12000</v>
      </c>
      <c r="M588" s="1764"/>
      <c r="N588" s="643"/>
      <c r="O588" s="73"/>
      <c r="P588" s="65"/>
      <c r="Q588" s="65"/>
    </row>
    <row r="589" spans="1:18" x14ac:dyDescent="0.2">
      <c r="A589" s="722" t="s">
        <v>599</v>
      </c>
      <c r="B589" s="36"/>
      <c r="C589" s="1105" t="s">
        <v>413</v>
      </c>
      <c r="D589" s="1528">
        <v>0</v>
      </c>
      <c r="E589" s="1805">
        <v>0</v>
      </c>
      <c r="F589" s="1528">
        <v>0</v>
      </c>
      <c r="G589" s="2857">
        <v>0</v>
      </c>
      <c r="H589" s="2857">
        <v>0</v>
      </c>
      <c r="I589" s="2322">
        <v>0</v>
      </c>
      <c r="J589" s="2322">
        <v>0</v>
      </c>
      <c r="K589" s="2062">
        <v>0</v>
      </c>
      <c r="L589" s="1892">
        <v>0</v>
      </c>
      <c r="M589" s="89"/>
      <c r="N589" s="643"/>
      <c r="O589" s="73"/>
      <c r="P589" s="65"/>
      <c r="Q589" s="65"/>
    </row>
    <row r="590" spans="1:18" x14ac:dyDescent="0.2">
      <c r="A590" s="722" t="s">
        <v>415</v>
      </c>
      <c r="B590" s="36"/>
      <c r="C590" s="1105" t="s">
        <v>600</v>
      </c>
      <c r="D590" s="1528">
        <v>600</v>
      </c>
      <c r="E590" s="1805">
        <v>0</v>
      </c>
      <c r="F590" s="1528">
        <v>2111</v>
      </c>
      <c r="G590" s="2857">
        <v>600</v>
      </c>
      <c r="H590" s="2857">
        <v>600</v>
      </c>
      <c r="I590" s="2322">
        <v>600</v>
      </c>
      <c r="J590" s="2322">
        <v>600</v>
      </c>
      <c r="K590" s="2062">
        <v>600</v>
      </c>
      <c r="L590" s="1892">
        <v>600</v>
      </c>
      <c r="M590" s="89"/>
      <c r="N590" s="107"/>
      <c r="O590" s="89"/>
      <c r="P590" s="89"/>
      <c r="Q590" s="89"/>
    </row>
    <row r="591" spans="1:18" x14ac:dyDescent="0.2">
      <c r="A591" s="722" t="s">
        <v>415</v>
      </c>
      <c r="B591" s="36"/>
      <c r="C591" s="1105" t="s">
        <v>601</v>
      </c>
      <c r="D591" s="1640">
        <v>1150</v>
      </c>
      <c r="E591" s="2248">
        <v>1140</v>
      </c>
      <c r="F591" s="1640">
        <v>1200</v>
      </c>
      <c r="G591" s="2858">
        <v>0</v>
      </c>
      <c r="H591" s="2858">
        <v>0</v>
      </c>
      <c r="I591" s="2322">
        <v>0</v>
      </c>
      <c r="J591" s="2322">
        <v>0</v>
      </c>
      <c r="K591" s="2058">
        <v>0</v>
      </c>
      <c r="L591" s="1893">
        <v>0</v>
      </c>
      <c r="M591" s="89"/>
      <c r="N591" s="107"/>
      <c r="O591" s="89"/>
      <c r="P591" s="89"/>
      <c r="Q591" s="65"/>
    </row>
    <row r="592" spans="1:18" s="34" customFormat="1" ht="13.5" thickBot="1" x14ac:dyDescent="0.25">
      <c r="A592" s="2359" t="s">
        <v>602</v>
      </c>
      <c r="B592" s="64"/>
      <c r="C592" s="1125" t="s">
        <v>603</v>
      </c>
      <c r="D592" s="1847">
        <v>1000</v>
      </c>
      <c r="E592" s="1890">
        <v>400</v>
      </c>
      <c r="F592" s="1847">
        <v>400</v>
      </c>
      <c r="G592" s="2859">
        <v>1000</v>
      </c>
      <c r="H592" s="2859">
        <v>1000</v>
      </c>
      <c r="I592" s="2357">
        <v>1000</v>
      </c>
      <c r="J592" s="2357">
        <v>1000</v>
      </c>
      <c r="K592" s="2073">
        <v>1000</v>
      </c>
      <c r="L592" s="2360">
        <v>1000</v>
      </c>
      <c r="M592" s="89"/>
      <c r="N592" s="107"/>
      <c r="O592" s="89"/>
      <c r="P592" s="89"/>
      <c r="Q592" s="89"/>
      <c r="R592" s="16"/>
    </row>
    <row r="593" spans="1:17" ht="13.5" thickBot="1" x14ac:dyDescent="0.25">
      <c r="A593" s="2364" t="s">
        <v>422</v>
      </c>
      <c r="B593" s="2365"/>
      <c r="C593" s="2366" t="s">
        <v>663</v>
      </c>
      <c r="D593" s="2367">
        <f>SUM(D594:D597)</f>
        <v>23600</v>
      </c>
      <c r="E593" s="2368">
        <f t="shared" ref="E593:L593" si="70">SUM(E594,E597,E595)</f>
        <v>27657</v>
      </c>
      <c r="F593" s="2367">
        <f t="shared" si="70"/>
        <v>31498</v>
      </c>
      <c r="G593" s="2368">
        <f t="shared" si="70"/>
        <v>31500</v>
      </c>
      <c r="H593" s="2369">
        <f>SUM(H594,H597,H595)+H596</f>
        <v>33044</v>
      </c>
      <c r="I593" s="2370">
        <f>SUM(I594,I597,I595)+I596</f>
        <v>33044</v>
      </c>
      <c r="J593" s="2371">
        <f>SUM(J594,J597,J595)+J596</f>
        <v>36500</v>
      </c>
      <c r="K593" s="2372">
        <f t="shared" si="70"/>
        <v>33500</v>
      </c>
      <c r="L593" s="2373">
        <f t="shared" si="70"/>
        <v>35500</v>
      </c>
      <c r="M593" s="644"/>
      <c r="N593" s="107"/>
      <c r="O593" s="89"/>
      <c r="P593" s="89"/>
      <c r="Q593" s="89"/>
    </row>
    <row r="594" spans="1:17" x14ac:dyDescent="0.2">
      <c r="A594" s="3798" t="s">
        <v>585</v>
      </c>
      <c r="B594" s="3799"/>
      <c r="C594" s="2361" t="s">
        <v>449</v>
      </c>
      <c r="D594" s="1666">
        <v>3100</v>
      </c>
      <c r="E594" s="1600">
        <v>7954</v>
      </c>
      <c r="F594" s="1666">
        <v>5841</v>
      </c>
      <c r="G594" s="2860">
        <v>5000</v>
      </c>
      <c r="H594" s="2860">
        <v>5000</v>
      </c>
      <c r="I594" s="3092">
        <v>5000</v>
      </c>
      <c r="J594" s="2358">
        <v>5000</v>
      </c>
      <c r="K594" s="2362">
        <v>6000</v>
      </c>
      <c r="L594" s="2363">
        <v>7000</v>
      </c>
      <c r="M594" s="645"/>
      <c r="N594" s="107"/>
      <c r="O594" s="89"/>
      <c r="P594" s="646"/>
      <c r="Q594" s="581"/>
    </row>
    <row r="595" spans="1:17" x14ac:dyDescent="0.2">
      <c r="A595" s="3802"/>
      <c r="B595" s="3803"/>
      <c r="C595" s="1110" t="s">
        <v>449</v>
      </c>
      <c r="D595" s="1846">
        <v>18600</v>
      </c>
      <c r="E595" s="1798">
        <v>19168</v>
      </c>
      <c r="F595" s="1846">
        <v>25152</v>
      </c>
      <c r="G595" s="2861">
        <v>26000</v>
      </c>
      <c r="H595" s="2861">
        <v>26000</v>
      </c>
      <c r="I595" s="3093">
        <v>26000</v>
      </c>
      <c r="J595" s="2445">
        <v>31000</v>
      </c>
      <c r="K595" s="2087">
        <v>27000</v>
      </c>
      <c r="L595" s="1894">
        <v>28000</v>
      </c>
      <c r="M595" s="645"/>
      <c r="N595" s="107"/>
      <c r="O595" s="89"/>
      <c r="P595" s="646"/>
      <c r="Q595" s="581"/>
    </row>
    <row r="596" spans="1:17" x14ac:dyDescent="0.2">
      <c r="A596" s="2302"/>
      <c r="B596" s="2303"/>
      <c r="C596" s="1110" t="s">
        <v>881</v>
      </c>
      <c r="D596" s="1846"/>
      <c r="E596" s="1789"/>
      <c r="F596" s="1846"/>
      <c r="G596" s="2861"/>
      <c r="H596" s="2861">
        <v>1544</v>
      </c>
      <c r="I596" s="3093">
        <v>1544</v>
      </c>
      <c r="J596" s="2445"/>
      <c r="K596" s="2087"/>
      <c r="L596" s="1894"/>
      <c r="M596" s="645"/>
      <c r="N596" s="107"/>
      <c r="O596" s="89"/>
      <c r="P596" s="646"/>
      <c r="Q596" s="581"/>
    </row>
    <row r="597" spans="1:17" ht="13.5" thickBot="1" x14ac:dyDescent="0.25">
      <c r="A597" s="3800" t="s">
        <v>586</v>
      </c>
      <c r="B597" s="3801"/>
      <c r="C597" s="1131" t="s">
        <v>363</v>
      </c>
      <c r="D597" s="1642">
        <v>1900</v>
      </c>
      <c r="E597" s="1602">
        <v>535</v>
      </c>
      <c r="F597" s="1642">
        <v>505</v>
      </c>
      <c r="G597" s="2862">
        <v>500</v>
      </c>
      <c r="H597" s="2862">
        <v>500</v>
      </c>
      <c r="I597" s="3094">
        <v>500</v>
      </c>
      <c r="J597" s="2357">
        <v>500</v>
      </c>
      <c r="K597" s="2073">
        <v>500</v>
      </c>
      <c r="L597" s="1438">
        <v>500</v>
      </c>
      <c r="M597" s="645"/>
      <c r="N597" s="107"/>
      <c r="O597" s="89"/>
      <c r="P597" s="646"/>
      <c r="Q597" s="581"/>
    </row>
    <row r="598" spans="1:17" ht="13.5" thickBot="1" x14ac:dyDescent="0.25">
      <c r="A598" s="2375" t="s">
        <v>422</v>
      </c>
      <c r="B598" s="2376"/>
      <c r="C598" s="2377" t="s">
        <v>419</v>
      </c>
      <c r="D598" s="2378">
        <f t="shared" ref="D598:L598" si="71">SUM(D599:D614)</f>
        <v>53956</v>
      </c>
      <c r="E598" s="2379">
        <f t="shared" si="71"/>
        <v>45722</v>
      </c>
      <c r="F598" s="2378">
        <f t="shared" si="71"/>
        <v>42087</v>
      </c>
      <c r="G598" s="2379">
        <f t="shared" si="71"/>
        <v>50850</v>
      </c>
      <c r="H598" s="2380">
        <f t="shared" si="71"/>
        <v>52394</v>
      </c>
      <c r="I598" s="2381">
        <f>SUM(I599:I614)</f>
        <v>54894</v>
      </c>
      <c r="J598" s="2371">
        <f>SUM(J599:J614)</f>
        <v>55850</v>
      </c>
      <c r="K598" s="2382">
        <f t="shared" si="71"/>
        <v>52250</v>
      </c>
      <c r="L598" s="2383">
        <f t="shared" si="71"/>
        <v>53450</v>
      </c>
      <c r="M598" s="645"/>
      <c r="N598" s="107"/>
      <c r="O598" s="89"/>
      <c r="P598" s="646"/>
      <c r="Q598" s="89"/>
    </row>
    <row r="599" spans="1:17" x14ac:dyDescent="0.2">
      <c r="A599" s="3763">
        <v>610</v>
      </c>
      <c r="B599" s="3764"/>
      <c r="C599" s="2361" t="s">
        <v>449</v>
      </c>
      <c r="D599" s="1849">
        <v>4500</v>
      </c>
      <c r="E599" s="1889">
        <v>11805</v>
      </c>
      <c r="F599" s="1849">
        <v>16505</v>
      </c>
      <c r="G599" s="2856">
        <v>3600</v>
      </c>
      <c r="H599" s="2856">
        <v>3600</v>
      </c>
      <c r="I599" s="2358">
        <v>3600</v>
      </c>
      <c r="J599" s="2358">
        <v>3600</v>
      </c>
      <c r="K599" s="2082">
        <v>3800</v>
      </c>
      <c r="L599" s="2374">
        <v>4000</v>
      </c>
      <c r="M599" s="644"/>
      <c r="N599" s="107"/>
      <c r="O599" s="89"/>
      <c r="P599" s="89"/>
      <c r="Q599" s="89"/>
    </row>
    <row r="600" spans="1:17" x14ac:dyDescent="0.2">
      <c r="A600" s="3775"/>
      <c r="B600" s="3776"/>
      <c r="C600" s="1109" t="s">
        <v>449</v>
      </c>
      <c r="D600" s="2227">
        <v>34650</v>
      </c>
      <c r="E600" s="1897">
        <v>29389</v>
      </c>
      <c r="F600" s="2227">
        <v>21608</v>
      </c>
      <c r="G600" s="2863">
        <v>40000</v>
      </c>
      <c r="H600" s="2863">
        <v>40000</v>
      </c>
      <c r="I600" s="2445">
        <v>40000</v>
      </c>
      <c r="J600" s="2445">
        <v>45000</v>
      </c>
      <c r="K600" s="2068">
        <v>41000</v>
      </c>
      <c r="L600" s="2099">
        <v>42000</v>
      </c>
      <c r="M600" s="644"/>
      <c r="N600" s="107"/>
      <c r="O600" s="89"/>
      <c r="P600" s="89"/>
      <c r="Q600" s="89"/>
    </row>
    <row r="601" spans="1:17" x14ac:dyDescent="0.2">
      <c r="A601" s="3775"/>
      <c r="B601" s="3776"/>
      <c r="C601" s="1110" t="s">
        <v>882</v>
      </c>
      <c r="D601" s="2227">
        <v>4925</v>
      </c>
      <c r="E601" s="1897"/>
      <c r="F601" s="2227">
        <v>0</v>
      </c>
      <c r="G601" s="2863">
        <v>0</v>
      </c>
      <c r="H601" s="2863">
        <v>1544</v>
      </c>
      <c r="I601" s="2445">
        <v>1544</v>
      </c>
      <c r="J601" s="2445"/>
      <c r="K601" s="2062">
        <v>0</v>
      </c>
      <c r="L601" s="2099">
        <v>0</v>
      </c>
      <c r="M601" s="644"/>
      <c r="N601" s="107"/>
      <c r="O601" s="89"/>
      <c r="P601" s="89"/>
      <c r="Q601" s="89"/>
    </row>
    <row r="602" spans="1:17" x14ac:dyDescent="0.2">
      <c r="A602" s="3765">
        <v>631</v>
      </c>
      <c r="B602" s="3766"/>
      <c r="C602" s="1108" t="s">
        <v>664</v>
      </c>
      <c r="D602" s="1528">
        <v>300</v>
      </c>
      <c r="E602" s="1805">
        <v>10</v>
      </c>
      <c r="F602" s="1528">
        <v>20</v>
      </c>
      <c r="G602" s="2857">
        <v>400</v>
      </c>
      <c r="H602" s="2857">
        <v>400</v>
      </c>
      <c r="I602" s="2322">
        <v>400</v>
      </c>
      <c r="J602" s="2322">
        <v>400</v>
      </c>
      <c r="K602" s="2062">
        <v>400</v>
      </c>
      <c r="L602" s="1892">
        <v>400</v>
      </c>
      <c r="M602" s="644"/>
      <c r="N602" s="107"/>
      <c r="O602" s="89"/>
      <c r="P602" s="89"/>
      <c r="Q602" s="89"/>
    </row>
    <row r="603" spans="1:17" x14ac:dyDescent="0.2">
      <c r="A603" s="3765">
        <v>632</v>
      </c>
      <c r="B603" s="3766"/>
      <c r="C603" s="1108" t="s">
        <v>665</v>
      </c>
      <c r="D603" s="2228">
        <v>4580</v>
      </c>
      <c r="E603" s="1805">
        <v>3074</v>
      </c>
      <c r="F603" s="1528">
        <v>2781</v>
      </c>
      <c r="G603" s="2857">
        <v>4300</v>
      </c>
      <c r="H603" s="2857">
        <v>4300</v>
      </c>
      <c r="I603" s="2322">
        <v>4300</v>
      </c>
      <c r="J603" s="2322">
        <v>4300</v>
      </c>
      <c r="K603" s="2062">
        <v>4300</v>
      </c>
      <c r="L603" s="1892">
        <v>4300</v>
      </c>
      <c r="M603" s="644"/>
      <c r="N603" s="107"/>
      <c r="O603" s="89"/>
      <c r="P603" s="89"/>
      <c r="Q603" s="89"/>
    </row>
    <row r="604" spans="1:17" x14ac:dyDescent="0.2">
      <c r="A604" s="3765">
        <v>633</v>
      </c>
      <c r="B604" s="3766"/>
      <c r="C604" s="1108" t="s">
        <v>456</v>
      </c>
      <c r="D604" s="1528">
        <v>300</v>
      </c>
      <c r="E604" s="1805">
        <v>0</v>
      </c>
      <c r="F604" s="1528">
        <v>0</v>
      </c>
      <c r="G604" s="2857">
        <v>300</v>
      </c>
      <c r="H604" s="2857">
        <v>300</v>
      </c>
      <c r="I604" s="2322">
        <v>300</v>
      </c>
      <c r="J604" s="2322">
        <v>300</v>
      </c>
      <c r="K604" s="2062">
        <v>500</v>
      </c>
      <c r="L604" s="1892">
        <v>500</v>
      </c>
      <c r="M604" s="644"/>
      <c r="N604" s="107"/>
      <c r="O604" s="89"/>
      <c r="P604" s="89"/>
      <c r="Q604" s="89"/>
    </row>
    <row r="605" spans="1:17" x14ac:dyDescent="0.2">
      <c r="A605" s="3767">
        <v>633</v>
      </c>
      <c r="B605" s="3768"/>
      <c r="C605" s="1109" t="s">
        <v>456</v>
      </c>
      <c r="D605" s="2227">
        <v>0</v>
      </c>
      <c r="E605" s="1897"/>
      <c r="F605" s="2227">
        <v>0</v>
      </c>
      <c r="G605" s="2863">
        <v>0</v>
      </c>
      <c r="H605" s="2863">
        <v>0</v>
      </c>
      <c r="I605" s="2322">
        <v>0</v>
      </c>
      <c r="J605" s="2322">
        <v>0</v>
      </c>
      <c r="K605" s="2062">
        <v>0</v>
      </c>
      <c r="L605" s="2099">
        <v>0</v>
      </c>
      <c r="M605" s="644"/>
      <c r="N605" s="107"/>
      <c r="O605" s="89"/>
      <c r="P605" s="89"/>
      <c r="Q605" s="89"/>
    </row>
    <row r="606" spans="1:17" x14ac:dyDescent="0.2">
      <c r="A606" s="3765">
        <v>633</v>
      </c>
      <c r="B606" s="3766"/>
      <c r="C606" s="1108" t="s">
        <v>457</v>
      </c>
      <c r="D606" s="1528">
        <v>0</v>
      </c>
      <c r="E606" s="1805">
        <v>0</v>
      </c>
      <c r="F606" s="1528">
        <v>0</v>
      </c>
      <c r="G606" s="2857">
        <v>0</v>
      </c>
      <c r="H606" s="2857">
        <v>0</v>
      </c>
      <c r="I606" s="2322">
        <v>0</v>
      </c>
      <c r="J606" s="2322">
        <v>0</v>
      </c>
      <c r="K606" s="2062">
        <v>0</v>
      </c>
      <c r="L606" s="1892">
        <v>0</v>
      </c>
      <c r="M606" s="644"/>
      <c r="N606" s="107"/>
      <c r="O606" s="89"/>
      <c r="P606" s="89"/>
      <c r="Q606" s="89"/>
    </row>
    <row r="607" spans="1:17" x14ac:dyDescent="0.2">
      <c r="A607" s="3767">
        <v>633</v>
      </c>
      <c r="B607" s="3768"/>
      <c r="C607" s="1109" t="s">
        <v>457</v>
      </c>
      <c r="D607" s="2227">
        <v>0</v>
      </c>
      <c r="E607" s="1897">
        <v>562</v>
      </c>
      <c r="F607" s="2227">
        <v>0</v>
      </c>
      <c r="G607" s="2863">
        <v>0</v>
      </c>
      <c r="H607" s="2863">
        <v>0</v>
      </c>
      <c r="I607" s="2322">
        <v>0</v>
      </c>
      <c r="J607" s="2322">
        <v>0</v>
      </c>
      <c r="K607" s="2062">
        <v>0</v>
      </c>
      <c r="L607" s="2099">
        <v>0</v>
      </c>
      <c r="M607" s="644"/>
      <c r="N607" s="107"/>
      <c r="O607" s="89"/>
      <c r="P607" s="89"/>
      <c r="Q607" s="89"/>
    </row>
    <row r="608" spans="1:17" x14ac:dyDescent="0.2">
      <c r="A608" s="3765">
        <v>633</v>
      </c>
      <c r="B608" s="3766"/>
      <c r="C608" s="1108" t="s">
        <v>666</v>
      </c>
      <c r="D608" s="1528">
        <v>516</v>
      </c>
      <c r="E608" s="1805">
        <v>0</v>
      </c>
      <c r="F608" s="1528">
        <v>51</v>
      </c>
      <c r="G608" s="2857">
        <v>500</v>
      </c>
      <c r="H608" s="2857">
        <v>500</v>
      </c>
      <c r="I608" s="2322">
        <v>500</v>
      </c>
      <c r="J608" s="2322">
        <v>500</v>
      </c>
      <c r="K608" s="2062">
        <v>500</v>
      </c>
      <c r="L608" s="1892">
        <v>500</v>
      </c>
      <c r="M608" s="644"/>
      <c r="N608" s="107"/>
      <c r="O608" s="89"/>
      <c r="P608" s="89"/>
      <c r="Q608" s="89"/>
    </row>
    <row r="609" spans="1:18" x14ac:dyDescent="0.2">
      <c r="A609" s="3767">
        <v>633</v>
      </c>
      <c r="B609" s="3768"/>
      <c r="C609" s="1109" t="s">
        <v>666</v>
      </c>
      <c r="D609" s="2227">
        <v>750</v>
      </c>
      <c r="E609" s="1897"/>
      <c r="F609" s="2227">
        <v>0</v>
      </c>
      <c r="G609" s="2863">
        <v>0</v>
      </c>
      <c r="H609" s="2863">
        <v>0</v>
      </c>
      <c r="I609" s="2322">
        <v>0</v>
      </c>
      <c r="J609" s="2322">
        <v>0</v>
      </c>
      <c r="K609" s="2062">
        <v>0</v>
      </c>
      <c r="L609" s="2099">
        <v>0</v>
      </c>
      <c r="M609" s="644"/>
      <c r="N609" s="107"/>
      <c r="O609" s="89"/>
      <c r="P609" s="89"/>
      <c r="Q609" s="89"/>
    </row>
    <row r="610" spans="1:18" x14ac:dyDescent="0.2">
      <c r="A610" s="3765">
        <v>633</v>
      </c>
      <c r="B610" s="3766"/>
      <c r="C610" s="1108" t="s">
        <v>460</v>
      </c>
      <c r="D610" s="1528">
        <v>1340</v>
      </c>
      <c r="E610" s="1805">
        <v>702</v>
      </c>
      <c r="F610" s="1528">
        <v>622</v>
      </c>
      <c r="G610" s="2857">
        <v>1000</v>
      </c>
      <c r="H610" s="2857">
        <v>1000</v>
      </c>
      <c r="I610" s="2322">
        <v>1000</v>
      </c>
      <c r="J610" s="2322">
        <v>1000</v>
      </c>
      <c r="K610" s="2062">
        <v>1000</v>
      </c>
      <c r="L610" s="1892">
        <v>1000</v>
      </c>
      <c r="M610" s="644"/>
      <c r="N610" s="107"/>
      <c r="O610" s="89"/>
      <c r="P610" s="89"/>
      <c r="Q610" s="89"/>
    </row>
    <row r="611" spans="1:18" x14ac:dyDescent="0.2">
      <c r="A611" s="3765">
        <v>633</v>
      </c>
      <c r="B611" s="3766"/>
      <c r="C611" s="1108" t="s">
        <v>667</v>
      </c>
      <c r="D611" s="1528">
        <v>0</v>
      </c>
      <c r="E611" s="1805">
        <v>0</v>
      </c>
      <c r="F611" s="1528">
        <v>0</v>
      </c>
      <c r="G611" s="2857">
        <v>0</v>
      </c>
      <c r="H611" s="2857">
        <v>0</v>
      </c>
      <c r="I611" s="2322">
        <v>0</v>
      </c>
      <c r="J611" s="2322">
        <v>0</v>
      </c>
      <c r="K611" s="2062">
        <v>0</v>
      </c>
      <c r="L611" s="1892">
        <v>0</v>
      </c>
      <c r="M611" s="644"/>
      <c r="N611" s="107"/>
      <c r="O611" s="89"/>
      <c r="P611" s="89"/>
      <c r="Q611" s="89"/>
    </row>
    <row r="612" spans="1:18" x14ac:dyDescent="0.2">
      <c r="A612" s="3765">
        <v>635</v>
      </c>
      <c r="B612" s="3766"/>
      <c r="C612" s="1108" t="s">
        <v>551</v>
      </c>
      <c r="D612" s="1528">
        <v>1045</v>
      </c>
      <c r="E612" s="1805">
        <v>60</v>
      </c>
      <c r="F612" s="1528">
        <v>500</v>
      </c>
      <c r="G612" s="2857">
        <v>500</v>
      </c>
      <c r="H612" s="2857">
        <v>500</v>
      </c>
      <c r="I612" s="2322">
        <v>500</v>
      </c>
      <c r="J612" s="2322">
        <v>500</v>
      </c>
      <c r="K612" s="2062">
        <v>500</v>
      </c>
      <c r="L612" s="1892">
        <v>500</v>
      </c>
      <c r="M612" s="644"/>
      <c r="N612" s="107"/>
      <c r="O612" s="89"/>
      <c r="P612" s="89"/>
      <c r="Q612" s="89"/>
    </row>
    <row r="613" spans="1:18" customFormat="1" x14ac:dyDescent="0.2">
      <c r="A613" s="3772">
        <v>633</v>
      </c>
      <c r="B613" s="3772"/>
      <c r="C613" s="272" t="s">
        <v>906</v>
      </c>
      <c r="D613" s="272">
        <v>0</v>
      </c>
      <c r="E613" s="272">
        <v>0</v>
      </c>
      <c r="F613" s="272">
        <v>0</v>
      </c>
      <c r="G613" s="202">
        <v>0</v>
      </c>
      <c r="H613" s="202">
        <v>0</v>
      </c>
      <c r="I613" s="2322">
        <v>2500</v>
      </c>
      <c r="J613" s="2322">
        <v>0</v>
      </c>
      <c r="K613" s="272">
        <v>0</v>
      </c>
      <c r="L613" s="272">
        <v>0</v>
      </c>
    </row>
    <row r="614" spans="1:18" ht="13.5" thickBot="1" x14ac:dyDescent="0.25">
      <c r="A614" s="3770">
        <v>637</v>
      </c>
      <c r="B614" s="3771"/>
      <c r="C614" s="1131" t="s">
        <v>668</v>
      </c>
      <c r="D614" s="1847">
        <v>1050</v>
      </c>
      <c r="E614" s="1890">
        <v>120</v>
      </c>
      <c r="F614" s="1847">
        <v>0</v>
      </c>
      <c r="G614" s="2859">
        <v>250</v>
      </c>
      <c r="H614" s="2859">
        <v>250</v>
      </c>
      <c r="I614" s="2357">
        <v>250</v>
      </c>
      <c r="J614" s="2357">
        <v>250</v>
      </c>
      <c r="K614" s="2073">
        <v>250</v>
      </c>
      <c r="L614" s="2360">
        <v>250</v>
      </c>
      <c r="M614" s="644"/>
      <c r="N614" s="107"/>
      <c r="O614" s="89"/>
      <c r="P614" s="89"/>
      <c r="Q614" s="89"/>
    </row>
    <row r="615" spans="1:18" ht="13.5" thickBot="1" x14ac:dyDescent="0.25">
      <c r="A615" s="2388" t="s">
        <v>604</v>
      </c>
      <c r="B615" s="2389"/>
      <c r="C615" s="2366" t="s">
        <v>605</v>
      </c>
      <c r="D615" s="2367">
        <f>SUM(D616:D620)</f>
        <v>9000</v>
      </c>
      <c r="E615" s="2368">
        <f t="shared" ref="E615:J615" si="72">SUM(E616,E617,E618,E620,E619)</f>
        <v>4684</v>
      </c>
      <c r="F615" s="2367">
        <f t="shared" si="72"/>
        <v>5747</v>
      </c>
      <c r="G615" s="2368">
        <f t="shared" si="72"/>
        <v>4000</v>
      </c>
      <c r="H615" s="2369">
        <f t="shared" si="72"/>
        <v>4000</v>
      </c>
      <c r="I615" s="2370">
        <f t="shared" si="72"/>
        <v>6000</v>
      </c>
      <c r="J615" s="2408">
        <f t="shared" si="72"/>
        <v>3000</v>
      </c>
      <c r="K615" s="2372">
        <f>SUM(K616,K617,K618,K619,K620)</f>
        <v>4000</v>
      </c>
      <c r="L615" s="2373">
        <f>SUM(L616,L617,L618,L619,L620)</f>
        <v>4000</v>
      </c>
      <c r="M615" s="644"/>
      <c r="N615" s="107"/>
      <c r="O615" s="89"/>
      <c r="P615" s="89"/>
      <c r="Q615" s="89"/>
    </row>
    <row r="616" spans="1:18" x14ac:dyDescent="0.2">
      <c r="A616" s="2384" t="s">
        <v>602</v>
      </c>
      <c r="B616" s="2385"/>
      <c r="C616" s="2386" t="s">
        <v>606</v>
      </c>
      <c r="D616" s="1643">
        <v>0</v>
      </c>
      <c r="E616" s="1848">
        <v>0</v>
      </c>
      <c r="F616" s="1643"/>
      <c r="G616" s="1848">
        <v>0</v>
      </c>
      <c r="H616" s="2898"/>
      <c r="I616" s="2358"/>
      <c r="J616" s="2358"/>
      <c r="K616" s="2082">
        <v>0</v>
      </c>
      <c r="L616" s="2387">
        <v>0</v>
      </c>
      <c r="M616" s="645"/>
      <c r="N616" s="107"/>
      <c r="O616" s="581"/>
      <c r="P616" s="647"/>
      <c r="Q616" s="89"/>
    </row>
    <row r="617" spans="1:18" x14ac:dyDescent="0.2">
      <c r="A617" s="722" t="s">
        <v>607</v>
      </c>
      <c r="B617" s="36"/>
      <c r="C617" s="1105" t="s">
        <v>608</v>
      </c>
      <c r="D617" s="1433">
        <v>0</v>
      </c>
      <c r="E617" s="1791">
        <v>0</v>
      </c>
      <c r="F617" s="1433">
        <v>0</v>
      </c>
      <c r="G617" s="1791">
        <v>0</v>
      </c>
      <c r="H617" s="2899">
        <v>0</v>
      </c>
      <c r="I617" s="2322">
        <v>0</v>
      </c>
      <c r="J617" s="2322">
        <v>0</v>
      </c>
      <c r="K617" s="2062">
        <v>0</v>
      </c>
      <c r="L617" s="1424">
        <v>0</v>
      </c>
      <c r="M617" s="581"/>
      <c r="N617" s="599"/>
      <c r="O617" s="581"/>
      <c r="P617" s="89"/>
      <c r="Q617" s="89"/>
    </row>
    <row r="618" spans="1:18" x14ac:dyDescent="0.2">
      <c r="A618" s="1895" t="s">
        <v>607</v>
      </c>
      <c r="B618" s="648"/>
      <c r="C618" s="1106" t="s">
        <v>609</v>
      </c>
      <c r="D618" s="2229">
        <v>6000</v>
      </c>
      <c r="E618" s="1898"/>
      <c r="F618" s="2229"/>
      <c r="G618" s="1898">
        <v>0</v>
      </c>
      <c r="H618" s="2993"/>
      <c r="I618" s="2322"/>
      <c r="J618" s="2322"/>
      <c r="K618" s="2068"/>
      <c r="L618" s="1896"/>
      <c r="M618" s="625"/>
      <c r="N618" s="649"/>
      <c r="O618" s="650"/>
      <c r="P618" s="651"/>
      <c r="Q618" s="650"/>
    </row>
    <row r="619" spans="1:18" x14ac:dyDescent="0.2">
      <c r="A619" s="1803" t="s">
        <v>607</v>
      </c>
      <c r="B619" s="547"/>
      <c r="C619" s="1107" t="s">
        <v>610</v>
      </c>
      <c r="D619" s="2229">
        <v>0</v>
      </c>
      <c r="E619" s="1898">
        <v>0</v>
      </c>
      <c r="F619" s="2229"/>
      <c r="G619" s="1898">
        <v>1000</v>
      </c>
      <c r="H619" s="2993">
        <v>1000</v>
      </c>
      <c r="I619" s="2322">
        <v>0</v>
      </c>
      <c r="J619" s="2322">
        <v>0</v>
      </c>
      <c r="K619" s="2068">
        <v>1000</v>
      </c>
      <c r="L619" s="1896">
        <v>1000</v>
      </c>
      <c r="M619" s="625"/>
      <c r="N619" s="649"/>
      <c r="O619" s="650"/>
      <c r="P619" s="651"/>
      <c r="Q619" s="650"/>
    </row>
    <row r="620" spans="1:18" s="654" customFormat="1" ht="13.5" thickBot="1" x14ac:dyDescent="0.25">
      <c r="A620" s="2390" t="s">
        <v>607</v>
      </c>
      <c r="B620" s="2391"/>
      <c r="C620" s="2392" t="s">
        <v>611</v>
      </c>
      <c r="D620" s="2393">
        <v>3000</v>
      </c>
      <c r="E620" s="2394">
        <v>4684</v>
      </c>
      <c r="F620" s="2393">
        <v>5747</v>
      </c>
      <c r="G620" s="2394">
        <v>3000</v>
      </c>
      <c r="H620" s="2994">
        <v>3000</v>
      </c>
      <c r="I620" s="3195">
        <v>6000</v>
      </c>
      <c r="J620" s="3195">
        <v>3000</v>
      </c>
      <c r="K620" s="2306">
        <v>3000</v>
      </c>
      <c r="L620" s="2395">
        <v>3000</v>
      </c>
      <c r="M620" s="625"/>
      <c r="N620" s="643"/>
      <c r="O620" s="652"/>
      <c r="P620" s="653"/>
      <c r="Q620" s="652"/>
    </row>
    <row r="621" spans="1:18" ht="13.5" thickBot="1" x14ac:dyDescent="0.25">
      <c r="A621" s="2396" t="s">
        <v>271</v>
      </c>
      <c r="B621" s="2397"/>
      <c r="C621" s="2398" t="s">
        <v>612</v>
      </c>
      <c r="D621" s="2399">
        <f t="shared" ref="D621:K621" si="73">D586+D593+D598+D615</f>
        <v>103606</v>
      </c>
      <c r="E621" s="2400">
        <f t="shared" si="73"/>
        <v>91818</v>
      </c>
      <c r="F621" s="2400">
        <f t="shared" si="73"/>
        <v>95709</v>
      </c>
      <c r="G621" s="2401">
        <f>G586+G593+G598+G615</f>
        <v>101950</v>
      </c>
      <c r="H621" s="2402">
        <f>H586+H593+H598+H615</f>
        <v>105038</v>
      </c>
      <c r="I621" s="2403">
        <f>I586+I593+I598+I615</f>
        <v>107098</v>
      </c>
      <c r="J621" s="2406">
        <f>J586+J593+J598+J615</f>
        <v>108510</v>
      </c>
      <c r="K621" s="2404">
        <f t="shared" si="73"/>
        <v>105850</v>
      </c>
      <c r="L621" s="2405">
        <f>L586+L593+L615+L598</f>
        <v>109050</v>
      </c>
      <c r="M621" s="90"/>
      <c r="N621" s="119"/>
      <c r="O621" s="530"/>
      <c r="P621" s="530"/>
      <c r="Q621" s="530"/>
    </row>
    <row r="622" spans="1:18" ht="13.5" thickBot="1" x14ac:dyDescent="0.25">
      <c r="A622" s="141" t="s">
        <v>613</v>
      </c>
      <c r="B622" s="142"/>
      <c r="C622" s="1817"/>
      <c r="D622" s="1489">
        <f>D102+D119+D165+D227+D271+D290+D308+D375+D577+D621</f>
        <v>1985648</v>
      </c>
      <c r="E622" s="1891">
        <f>SUM(E102,E119,E165,E227,E271,E290,E308,E375,E577,E621)</f>
        <v>2172264.36</v>
      </c>
      <c r="F622" s="1486">
        <f t="shared" ref="F622:L622" si="74">F102+F119+F165+F227+F271+F290+F308+F375+F577+F621</f>
        <v>2286411.7400000002</v>
      </c>
      <c r="G622" s="1818">
        <f t="shared" si="74"/>
        <v>2364145</v>
      </c>
      <c r="H622" s="1488">
        <f t="shared" si="74"/>
        <v>2411319</v>
      </c>
      <c r="I622" s="1488">
        <f t="shared" si="74"/>
        <v>2404982</v>
      </c>
      <c r="J622" s="2407">
        <f t="shared" si="74"/>
        <v>2386302</v>
      </c>
      <c r="K622" s="1819">
        <f t="shared" si="74"/>
        <v>2524943</v>
      </c>
      <c r="L622" s="1488">
        <f t="shared" si="74"/>
        <v>2591493</v>
      </c>
      <c r="M622" s="90"/>
      <c r="N622" s="21"/>
      <c r="O622" s="530"/>
      <c r="P622" s="530"/>
      <c r="Q622" s="530"/>
      <c r="R622" s="604"/>
    </row>
    <row r="623" spans="1:18" x14ac:dyDescent="0.2">
      <c r="A623" s="134"/>
      <c r="B623" s="20"/>
      <c r="C623" s="134"/>
      <c r="D623" s="90"/>
      <c r="E623" s="1899"/>
      <c r="F623" s="1899"/>
      <c r="G623" s="90"/>
      <c r="H623" s="90"/>
      <c r="I623" s="90"/>
      <c r="J623" s="2071"/>
      <c r="K623" s="90"/>
      <c r="L623" s="90"/>
      <c r="M623" s="90"/>
      <c r="N623" s="21"/>
      <c r="O623" s="530"/>
      <c r="P623" s="530"/>
      <c r="Q623" s="530"/>
      <c r="R623" s="604"/>
    </row>
    <row r="624" spans="1:18" x14ac:dyDescent="0.2">
      <c r="A624" s="134"/>
      <c r="B624" s="20"/>
      <c r="C624" s="134"/>
      <c r="D624" s="90"/>
      <c r="E624" s="1899"/>
      <c r="F624" s="1899"/>
      <c r="G624" s="90"/>
      <c r="H624" s="90"/>
      <c r="I624" s="90"/>
      <c r="J624" s="2071"/>
      <c r="K624" s="90"/>
      <c r="L624" s="90"/>
      <c r="M624" s="90"/>
      <c r="N624" s="21"/>
      <c r="O624" s="530"/>
      <c r="P624" s="530"/>
      <c r="Q624" s="530"/>
      <c r="R624" s="604"/>
    </row>
    <row r="625" spans="1:18" x14ac:dyDescent="0.2">
      <c r="A625" s="134"/>
      <c r="B625" s="20"/>
      <c r="C625" s="134"/>
      <c r="D625" s="90"/>
      <c r="E625" s="1899"/>
      <c r="F625" s="1899"/>
      <c r="G625" s="90"/>
      <c r="H625" s="90"/>
      <c r="I625" s="90"/>
      <c r="J625" s="2071"/>
      <c r="K625" s="90"/>
      <c r="L625" s="90"/>
      <c r="M625" s="90"/>
      <c r="N625" s="21"/>
      <c r="O625" s="530"/>
      <c r="P625" s="530"/>
      <c r="Q625" s="530"/>
      <c r="R625" s="604"/>
    </row>
    <row r="626" spans="1:18" x14ac:dyDescent="0.2">
      <c r="A626" s="134"/>
      <c r="B626" s="20"/>
      <c r="C626" s="134"/>
      <c r="D626" s="90"/>
      <c r="E626" s="1899"/>
      <c r="F626" s="1899"/>
      <c r="G626" s="90"/>
      <c r="H626" s="90"/>
      <c r="I626" s="90"/>
      <c r="J626" s="2071"/>
      <c r="K626" s="90"/>
      <c r="L626" s="90"/>
      <c r="M626" s="90"/>
      <c r="N626" s="21"/>
      <c r="O626" s="530"/>
      <c r="P626" s="530"/>
      <c r="Q626" s="530"/>
      <c r="R626" s="604"/>
    </row>
    <row r="627" spans="1:18" x14ac:dyDescent="0.2">
      <c r="A627" s="134"/>
      <c r="B627" s="20"/>
      <c r="C627" s="134"/>
      <c r="D627" s="90"/>
      <c r="E627" s="1899"/>
      <c r="F627" s="1899"/>
      <c r="G627" s="90"/>
      <c r="H627" s="90"/>
      <c r="I627" s="90"/>
      <c r="J627" s="2071"/>
      <c r="K627" s="90"/>
      <c r="L627" s="90"/>
      <c r="M627" s="90"/>
      <c r="N627" s="21"/>
      <c r="O627" s="530"/>
      <c r="P627" s="530"/>
      <c r="Q627" s="530"/>
      <c r="R627" s="604"/>
    </row>
    <row r="628" spans="1:18" x14ac:dyDescent="0.2">
      <c r="A628" s="134"/>
      <c r="B628" s="20"/>
      <c r="C628" s="134"/>
      <c r="D628" s="90"/>
      <c r="E628" s="1899"/>
      <c r="F628" s="1899"/>
      <c r="G628" s="90"/>
      <c r="H628" s="90"/>
      <c r="I628" s="90"/>
      <c r="J628" s="2071"/>
      <c r="K628" s="90"/>
      <c r="L628" s="90"/>
      <c r="M628" s="90"/>
      <c r="N628" s="21"/>
      <c r="O628" s="530"/>
      <c r="P628" s="530"/>
      <c r="Q628" s="530"/>
      <c r="R628" s="604"/>
    </row>
    <row r="629" spans="1:18" x14ac:dyDescent="0.2">
      <c r="A629" s="134"/>
      <c r="B629" s="20"/>
      <c r="C629" s="134"/>
      <c r="D629" s="90"/>
      <c r="E629" s="1899"/>
      <c r="F629" s="1899"/>
      <c r="G629" s="90"/>
      <c r="H629" s="90"/>
      <c r="I629" s="90"/>
      <c r="J629" s="2071"/>
      <c r="K629" s="90"/>
      <c r="L629" s="90"/>
      <c r="M629" s="90"/>
      <c r="N629" s="21"/>
      <c r="O629" s="530"/>
      <c r="P629" s="530"/>
      <c r="Q629" s="530"/>
      <c r="R629" s="604"/>
    </row>
    <row r="630" spans="1:18" x14ac:dyDescent="0.2">
      <c r="A630" s="134"/>
      <c r="B630" s="20"/>
      <c r="C630" s="134"/>
      <c r="D630" s="90"/>
      <c r="E630" s="1899"/>
      <c r="F630" s="1899"/>
      <c r="G630" s="90"/>
      <c r="H630" s="90"/>
      <c r="I630" s="90"/>
      <c r="J630" s="2071"/>
      <c r="K630" s="90"/>
      <c r="L630" s="90"/>
      <c r="M630" s="90"/>
      <c r="N630" s="21"/>
      <c r="O630" s="530"/>
      <c r="P630" s="530"/>
      <c r="Q630" s="530"/>
      <c r="R630" s="604"/>
    </row>
    <row r="631" spans="1:18" x14ac:dyDescent="0.2">
      <c r="A631" s="134"/>
      <c r="B631" s="20"/>
      <c r="C631" s="134"/>
      <c r="D631" s="90"/>
      <c r="E631" s="1899"/>
      <c r="F631" s="1899"/>
      <c r="G631" s="90"/>
      <c r="H631" s="90"/>
      <c r="I631" s="90"/>
      <c r="J631" s="2071"/>
      <c r="K631" s="90"/>
      <c r="L631" s="90"/>
      <c r="M631" s="90"/>
      <c r="N631" s="21"/>
      <c r="O631" s="530"/>
      <c r="P631" s="530"/>
      <c r="Q631" s="530"/>
      <c r="R631" s="604"/>
    </row>
    <row r="632" spans="1:18" x14ac:dyDescent="0.2">
      <c r="A632" s="134"/>
      <c r="B632" s="20"/>
      <c r="C632" s="134"/>
      <c r="D632" s="90"/>
      <c r="E632" s="1899"/>
      <c r="F632" s="1899"/>
      <c r="G632" s="90"/>
      <c r="H632" s="90"/>
      <c r="I632" s="90"/>
      <c r="J632" s="2071"/>
      <c r="K632" s="90"/>
      <c r="L632" s="90"/>
      <c r="M632" s="90"/>
      <c r="N632" s="21"/>
      <c r="O632" s="530"/>
      <c r="P632" s="530"/>
      <c r="Q632" s="530"/>
      <c r="R632" s="604"/>
    </row>
    <row r="633" spans="1:18" x14ac:dyDescent="0.2">
      <c r="A633" s="134"/>
      <c r="B633" s="20"/>
      <c r="C633" s="134"/>
      <c r="D633" s="90"/>
      <c r="E633" s="1899"/>
      <c r="F633" s="1899"/>
      <c r="G633" s="90"/>
      <c r="H633" s="90"/>
      <c r="I633" s="90"/>
      <c r="J633" s="2071"/>
      <c r="K633" s="90"/>
      <c r="L633" s="90"/>
      <c r="M633" s="90"/>
      <c r="N633" s="21"/>
      <c r="O633" s="530"/>
      <c r="P633" s="530"/>
      <c r="Q633" s="530"/>
      <c r="R633" s="604"/>
    </row>
    <row r="634" spans="1:18" x14ac:dyDescent="0.2">
      <c r="A634" s="134"/>
      <c r="B634" s="20"/>
      <c r="C634" s="134"/>
      <c r="D634" s="90"/>
      <c r="E634" s="1899"/>
      <c r="F634" s="1899"/>
      <c r="G634" s="90"/>
      <c r="H634" s="90"/>
      <c r="I634" s="90"/>
      <c r="J634" s="2071"/>
      <c r="K634" s="90"/>
      <c r="L634" s="90"/>
      <c r="M634" s="90"/>
      <c r="N634" s="21"/>
      <c r="O634" s="530"/>
      <c r="P634" s="530"/>
      <c r="Q634" s="530"/>
      <c r="R634" s="604"/>
    </row>
    <row r="635" spans="1:18" x14ac:dyDescent="0.2">
      <c r="A635" s="134"/>
      <c r="B635" s="20"/>
      <c r="C635" s="134"/>
      <c r="D635" s="90"/>
      <c r="E635" s="1899"/>
      <c r="F635" s="1899"/>
      <c r="G635" s="90"/>
      <c r="H635" s="90"/>
      <c r="I635" s="90"/>
      <c r="J635" s="2071"/>
      <c r="K635" s="90"/>
      <c r="L635" s="90"/>
      <c r="M635" s="90"/>
      <c r="N635" s="21"/>
      <c r="O635" s="530"/>
      <c r="P635" s="530"/>
      <c r="Q635" s="530"/>
      <c r="R635" s="604"/>
    </row>
    <row r="636" spans="1:18" x14ac:dyDescent="0.2">
      <c r="A636" s="134"/>
      <c r="B636" s="20"/>
      <c r="C636" s="134"/>
      <c r="D636" s="90"/>
      <c r="E636" s="1899"/>
      <c r="F636" s="1899"/>
      <c r="G636" s="90"/>
      <c r="H636" s="90"/>
      <c r="I636" s="90"/>
      <c r="J636" s="2071"/>
      <c r="K636" s="90"/>
      <c r="L636" s="90"/>
      <c r="M636" s="90"/>
      <c r="N636" s="21"/>
      <c r="O636" s="530"/>
      <c r="P636" s="530"/>
      <c r="Q636" s="530"/>
      <c r="R636" s="604"/>
    </row>
    <row r="637" spans="1:18" x14ac:dyDescent="0.2">
      <c r="A637" s="134"/>
      <c r="B637" s="20"/>
      <c r="C637" s="134"/>
      <c r="D637" s="90"/>
      <c r="E637" s="1899"/>
      <c r="F637" s="1899"/>
      <c r="G637" s="90"/>
      <c r="H637" s="90"/>
      <c r="I637" s="90"/>
      <c r="J637" s="2071"/>
      <c r="K637" s="90"/>
      <c r="L637" s="90"/>
      <c r="M637" s="90"/>
      <c r="N637" s="21"/>
      <c r="O637" s="530"/>
      <c r="P637" s="530"/>
      <c r="Q637" s="530"/>
      <c r="R637" s="604"/>
    </row>
    <row r="638" spans="1:18" x14ac:dyDescent="0.2">
      <c r="A638" s="134"/>
      <c r="B638" s="20"/>
      <c r="C638" s="134"/>
      <c r="D638" s="90"/>
      <c r="E638" s="1899"/>
      <c r="F638" s="1899"/>
      <c r="G638" s="90"/>
      <c r="H638" s="90"/>
      <c r="I638" s="90"/>
      <c r="J638" s="2071"/>
      <c r="K638" s="90"/>
      <c r="L638" s="90"/>
      <c r="M638" s="90"/>
      <c r="N638" s="21"/>
      <c r="O638" s="530"/>
      <c r="P638" s="530"/>
      <c r="Q638" s="530"/>
      <c r="R638" s="604"/>
    </row>
    <row r="639" spans="1:18" x14ac:dyDescent="0.2">
      <c r="A639" s="134"/>
      <c r="B639" s="20"/>
      <c r="C639" s="134"/>
      <c r="D639" s="90"/>
      <c r="E639" s="1899"/>
      <c r="F639" s="1899"/>
      <c r="G639" s="90"/>
      <c r="H639" s="90"/>
      <c r="I639" s="90"/>
      <c r="J639" s="2071"/>
      <c r="K639" s="90"/>
      <c r="L639" s="90"/>
      <c r="M639" s="90"/>
      <c r="N639" s="21"/>
      <c r="O639" s="530"/>
      <c r="P639" s="530"/>
      <c r="Q639" s="530"/>
      <c r="R639" s="604"/>
    </row>
    <row r="640" spans="1:18" x14ac:dyDescent="0.2">
      <c r="A640" s="134"/>
      <c r="B640" s="20"/>
      <c r="C640" s="134"/>
      <c r="D640" s="90"/>
      <c r="E640" s="1899"/>
      <c r="F640" s="1899"/>
      <c r="G640" s="90"/>
      <c r="H640" s="90"/>
      <c r="I640" s="90"/>
      <c r="J640" s="2071"/>
      <c r="K640" s="90"/>
      <c r="L640" s="90"/>
      <c r="M640" s="90"/>
      <c r="N640" s="21"/>
      <c r="O640" s="530"/>
      <c r="P640" s="530"/>
      <c r="Q640" s="530"/>
      <c r="R640" s="604"/>
    </row>
    <row r="641" spans="1:18" x14ac:dyDescent="0.2">
      <c r="A641" s="134"/>
      <c r="B641" s="20"/>
      <c r="C641" s="134"/>
      <c r="D641" s="90"/>
      <c r="E641" s="1899"/>
      <c r="F641" s="1899"/>
      <c r="G641" s="90"/>
      <c r="H641" s="90"/>
      <c r="I641" s="90"/>
      <c r="J641" s="2071"/>
      <c r="K641" s="90"/>
      <c r="L641" s="90"/>
      <c r="M641" s="90"/>
      <c r="N641" s="21"/>
      <c r="O641" s="530"/>
      <c r="P641" s="530"/>
      <c r="Q641" s="530"/>
      <c r="R641" s="604"/>
    </row>
    <row r="642" spans="1:18" x14ac:dyDescent="0.2">
      <c r="A642" s="134"/>
      <c r="B642" s="20"/>
      <c r="C642" s="134"/>
      <c r="D642" s="90"/>
      <c r="E642" s="1899"/>
      <c r="F642" s="1899"/>
      <c r="G642" s="90"/>
      <c r="H642" s="90"/>
      <c r="I642" s="90"/>
      <c r="J642" s="2071"/>
      <c r="K642" s="90"/>
      <c r="L642" s="90"/>
      <c r="M642" s="90"/>
      <c r="N642" s="21"/>
      <c r="O642" s="530"/>
      <c r="P642" s="530"/>
      <c r="Q642" s="530"/>
      <c r="R642" s="604"/>
    </row>
    <row r="643" spans="1:18" x14ac:dyDescent="0.2">
      <c r="A643" s="134"/>
      <c r="B643" s="20"/>
      <c r="C643" s="134"/>
      <c r="D643" s="90"/>
      <c r="E643" s="1899"/>
      <c r="F643" s="1899"/>
      <c r="G643" s="90"/>
      <c r="H643" s="90"/>
      <c r="I643" s="90"/>
      <c r="J643" s="2071"/>
      <c r="K643" s="90"/>
      <c r="L643" s="90"/>
      <c r="M643" s="90"/>
      <c r="N643" s="21"/>
      <c r="O643" s="530"/>
      <c r="P643" s="530"/>
      <c r="Q643" s="530"/>
      <c r="R643" s="604"/>
    </row>
    <row r="644" spans="1:18" x14ac:dyDescent="0.2">
      <c r="A644" s="134"/>
      <c r="B644" s="20"/>
      <c r="C644" s="134"/>
      <c r="D644" s="90"/>
      <c r="E644" s="1899"/>
      <c r="F644" s="1899"/>
      <c r="G644" s="90"/>
      <c r="H644" s="90"/>
      <c r="I644" s="90"/>
      <c r="J644" s="2071"/>
      <c r="K644" s="90"/>
      <c r="L644" s="90"/>
      <c r="M644" s="90"/>
      <c r="N644" s="21"/>
      <c r="O644" s="530"/>
      <c r="P644" s="530"/>
      <c r="Q644" s="530"/>
      <c r="R644" s="604"/>
    </row>
    <row r="645" spans="1:18" x14ac:dyDescent="0.2">
      <c r="A645" s="134"/>
      <c r="B645" s="20"/>
      <c r="C645" s="134"/>
      <c r="D645" s="90"/>
      <c r="E645" s="1899"/>
      <c r="F645" s="1899"/>
      <c r="G645" s="90"/>
      <c r="H645" s="90"/>
      <c r="I645" s="90"/>
      <c r="J645" s="2071"/>
      <c r="K645" s="90"/>
      <c r="L645" s="90"/>
      <c r="M645" s="90"/>
      <c r="N645" s="21"/>
      <c r="O645" s="530"/>
      <c r="P645" s="530"/>
      <c r="Q645" s="530"/>
      <c r="R645" s="604"/>
    </row>
    <row r="646" spans="1:18" x14ac:dyDescent="0.2">
      <c r="A646" s="134"/>
      <c r="B646" s="20"/>
      <c r="C646" s="134"/>
      <c r="D646" s="90"/>
      <c r="E646" s="1899"/>
      <c r="F646" s="1899"/>
      <c r="G646" s="90"/>
      <c r="H646" s="90"/>
      <c r="I646" s="90"/>
      <c r="J646" s="2071"/>
      <c r="K646" s="90"/>
      <c r="L646" s="90"/>
      <c r="M646" s="90"/>
      <c r="N646" s="21"/>
      <c r="O646" s="530"/>
      <c r="P646" s="530"/>
      <c r="Q646" s="530"/>
      <c r="R646" s="604"/>
    </row>
    <row r="647" spans="1:18" x14ac:dyDescent="0.2">
      <c r="A647" s="134"/>
      <c r="B647" s="20"/>
      <c r="C647" s="134"/>
      <c r="D647" s="90"/>
      <c r="E647" s="1899"/>
      <c r="F647" s="1899"/>
      <c r="G647" s="90"/>
      <c r="H647" s="90"/>
      <c r="I647" s="90"/>
      <c r="J647" s="2071"/>
      <c r="K647" s="90"/>
      <c r="L647" s="90"/>
      <c r="M647" s="90"/>
      <c r="N647" s="21"/>
      <c r="O647" s="530"/>
      <c r="P647" s="530"/>
      <c r="Q647" s="530"/>
      <c r="R647" s="604"/>
    </row>
    <row r="648" spans="1:18" x14ac:dyDescent="0.2">
      <c r="A648" s="134"/>
      <c r="B648" s="20"/>
      <c r="C648" s="134"/>
      <c r="D648" s="134"/>
      <c r="E648" s="134"/>
      <c r="F648" s="595"/>
      <c r="G648" s="135"/>
      <c r="H648" s="135"/>
      <c r="I648" s="135"/>
      <c r="J648" s="3039"/>
      <c r="K648" s="135"/>
      <c r="L648" s="600"/>
    </row>
    <row r="649" spans="1:18" hidden="1" x14ac:dyDescent="0.2">
      <c r="A649" s="134"/>
      <c r="B649" s="20"/>
      <c r="C649" s="134"/>
      <c r="D649" s="134"/>
      <c r="E649" s="134"/>
      <c r="F649" s="134"/>
      <c r="G649" s="135"/>
      <c r="H649" s="135"/>
      <c r="I649" s="135"/>
      <c r="J649" s="3039"/>
      <c r="K649" s="135"/>
      <c r="L649" s="600"/>
    </row>
    <row r="650" spans="1:18" hidden="1" x14ac:dyDescent="0.2">
      <c r="A650" s="134"/>
      <c r="B650" s="20"/>
      <c r="C650" s="134"/>
      <c r="D650" s="134"/>
      <c r="E650" s="134"/>
      <c r="F650" s="134"/>
      <c r="G650" s="135"/>
      <c r="H650" s="135"/>
      <c r="I650" s="135"/>
      <c r="J650" s="3039"/>
      <c r="K650" s="135"/>
      <c r="L650" s="600"/>
    </row>
    <row r="651" spans="1:18" hidden="1" x14ac:dyDescent="0.2">
      <c r="A651" s="134"/>
      <c r="B651" s="20"/>
      <c r="C651" s="134"/>
      <c r="D651" s="134"/>
      <c r="E651" s="134"/>
      <c r="F651" s="134"/>
      <c r="G651" s="135"/>
      <c r="H651" s="135"/>
      <c r="I651" s="135"/>
      <c r="J651" s="3039"/>
      <c r="K651" s="655"/>
      <c r="L651" s="600"/>
    </row>
    <row r="652" spans="1:18" hidden="1" x14ac:dyDescent="0.2">
      <c r="A652" s="134"/>
      <c r="B652" s="20"/>
      <c r="C652" s="134"/>
      <c r="D652" s="134"/>
      <c r="E652" s="134"/>
      <c r="F652" s="134"/>
      <c r="G652" s="135"/>
      <c r="H652" s="135"/>
      <c r="I652" s="135"/>
      <c r="J652" s="3039"/>
      <c r="K652" s="135"/>
      <c r="L652" s="600"/>
    </row>
    <row r="653" spans="1:18" hidden="1" x14ac:dyDescent="0.2">
      <c r="A653" s="134"/>
      <c r="B653" s="20"/>
      <c r="C653" s="134"/>
      <c r="D653" s="134"/>
      <c r="E653" s="134"/>
      <c r="F653" s="134"/>
      <c r="G653" s="135"/>
      <c r="H653" s="135"/>
      <c r="I653" s="135"/>
      <c r="J653" s="3039"/>
      <c r="K653" s="135"/>
      <c r="L653" s="600"/>
    </row>
    <row r="654" spans="1:18" hidden="1" x14ac:dyDescent="0.2">
      <c r="A654" s="134"/>
      <c r="B654" s="20"/>
      <c r="C654" s="134"/>
      <c r="D654" s="134"/>
      <c r="E654" s="134"/>
      <c r="F654" s="134"/>
      <c r="G654" s="135"/>
      <c r="H654" s="135"/>
      <c r="I654" s="135"/>
      <c r="J654" s="3039"/>
      <c r="K654" s="135"/>
      <c r="L654" s="600"/>
    </row>
    <row r="655" spans="1:18" hidden="1" x14ac:dyDescent="0.2">
      <c r="A655" s="134"/>
      <c r="B655" s="20"/>
      <c r="C655" s="134"/>
      <c r="D655" s="134"/>
      <c r="E655" s="134"/>
      <c r="F655" s="134"/>
      <c r="G655" s="135"/>
      <c r="H655" s="135"/>
      <c r="I655" s="135"/>
      <c r="J655" s="3039"/>
      <c r="K655" s="135"/>
      <c r="L655" s="600"/>
    </row>
    <row r="656" spans="1:18" hidden="1" x14ac:dyDescent="0.2">
      <c r="A656" s="134"/>
      <c r="B656" s="20"/>
      <c r="C656" s="134"/>
      <c r="D656" s="134"/>
      <c r="E656" s="134"/>
      <c r="F656" s="134"/>
      <c r="G656" s="135"/>
      <c r="H656" s="135"/>
      <c r="I656" s="135"/>
      <c r="J656" s="3039"/>
      <c r="K656" s="135"/>
      <c r="L656" s="600"/>
    </row>
    <row r="657" spans="1:17" hidden="1" x14ac:dyDescent="0.2">
      <c r="A657" s="134"/>
      <c r="B657" s="20"/>
      <c r="C657" s="134"/>
      <c r="D657" s="134"/>
      <c r="E657" s="134"/>
      <c r="F657" s="134"/>
      <c r="G657" s="135"/>
      <c r="H657" s="135"/>
      <c r="I657" s="135"/>
      <c r="J657" s="3039"/>
      <c r="K657" s="135"/>
      <c r="L657" s="600"/>
    </row>
    <row r="658" spans="1:17" hidden="1" x14ac:dyDescent="0.2">
      <c r="A658" s="134"/>
      <c r="B658" s="20"/>
      <c r="C658" s="134"/>
      <c r="D658" s="134"/>
      <c r="E658" s="134"/>
      <c r="F658" s="134"/>
      <c r="G658" s="135"/>
      <c r="H658" s="135"/>
      <c r="I658" s="135"/>
      <c r="J658" s="3039"/>
      <c r="K658" s="135"/>
      <c r="L658" s="600"/>
    </row>
    <row r="659" spans="1:17" hidden="1" x14ac:dyDescent="0.2">
      <c r="A659" s="134"/>
      <c r="B659" s="20"/>
      <c r="C659" s="134"/>
      <c r="D659" s="134"/>
      <c r="E659" s="134"/>
      <c r="F659" s="134"/>
      <c r="G659" s="135"/>
      <c r="H659" s="135"/>
      <c r="I659" s="135"/>
      <c r="J659" s="3039"/>
      <c r="K659" s="135"/>
      <c r="L659" s="600"/>
    </row>
    <row r="660" spans="1:17" hidden="1" x14ac:dyDescent="0.2">
      <c r="A660" s="134"/>
      <c r="B660" s="20"/>
      <c r="C660" s="134"/>
      <c r="D660" s="134"/>
      <c r="E660" s="134"/>
      <c r="F660" s="134"/>
      <c r="G660" s="135"/>
      <c r="H660" s="135"/>
      <c r="I660" s="135"/>
      <c r="J660" s="3039"/>
      <c r="K660" s="135"/>
      <c r="L660" s="600"/>
    </row>
    <row r="661" spans="1:17" hidden="1" x14ac:dyDescent="0.2">
      <c r="A661" s="134"/>
      <c r="B661" s="20"/>
      <c r="C661" s="134"/>
      <c r="D661" s="134"/>
      <c r="E661" s="134"/>
      <c r="F661" s="134"/>
      <c r="G661" s="135"/>
      <c r="H661" s="135"/>
      <c r="I661" s="135"/>
      <c r="J661" s="3039"/>
      <c r="K661" s="135"/>
      <c r="L661" s="600"/>
    </row>
    <row r="662" spans="1:17" hidden="1" x14ac:dyDescent="0.2">
      <c r="A662" s="134"/>
      <c r="B662" s="20"/>
      <c r="C662" s="134"/>
      <c r="D662" s="134"/>
      <c r="E662" s="134"/>
      <c r="F662" s="134"/>
      <c r="G662" s="135"/>
      <c r="H662" s="135"/>
      <c r="I662" s="135"/>
      <c r="J662" s="3039"/>
      <c r="K662" s="135"/>
      <c r="L662" s="600"/>
    </row>
    <row r="663" spans="1:17" ht="13.5" thickBot="1" x14ac:dyDescent="0.25">
      <c r="A663" s="134"/>
      <c r="B663" s="20"/>
      <c r="C663" s="522" t="s">
        <v>434</v>
      </c>
      <c r="D663" s="522"/>
      <c r="E663" s="522"/>
      <c r="F663" s="522"/>
      <c r="G663" s="135"/>
      <c r="H663" s="135"/>
      <c r="I663" s="135"/>
      <c r="J663" s="3039"/>
      <c r="K663" s="135"/>
      <c r="L663" s="600"/>
    </row>
    <row r="664" spans="1:17" ht="13.5" hidden="1" thickBot="1" x14ac:dyDescent="0.25">
      <c r="A664" s="134"/>
      <c r="B664" s="20"/>
      <c r="C664" s="134"/>
      <c r="D664" s="134"/>
      <c r="E664" s="134"/>
      <c r="F664" s="134"/>
      <c r="G664" s="135"/>
      <c r="H664" s="135"/>
      <c r="I664" s="135"/>
      <c r="K664" s="135"/>
      <c r="L664" s="600"/>
    </row>
    <row r="665" spans="1:17" s="592" customFormat="1" ht="23.25" thickBot="1" x14ac:dyDescent="0.25">
      <c r="A665" s="1592" t="s">
        <v>434</v>
      </c>
      <c r="B665" s="1593"/>
      <c r="C665" s="1594"/>
      <c r="D665" s="524">
        <v>2018</v>
      </c>
      <c r="E665" s="3174" t="s">
        <v>825</v>
      </c>
      <c r="F665" s="3175" t="s">
        <v>958</v>
      </c>
      <c r="G665" s="1408">
        <v>2021</v>
      </c>
      <c r="H665" s="2343" t="s">
        <v>873</v>
      </c>
      <c r="I665" s="2343" t="s">
        <v>929</v>
      </c>
      <c r="J665" s="3113">
        <v>2022</v>
      </c>
      <c r="K665" s="2344">
        <v>2023</v>
      </c>
      <c r="L665" s="2345">
        <v>2024</v>
      </c>
      <c r="M665" s="589"/>
      <c r="N665" s="590"/>
      <c r="O665" s="591"/>
      <c r="P665" s="526"/>
      <c r="Q665" s="527"/>
    </row>
    <row r="666" spans="1:17" s="139" customFormat="1" ht="11.25" x14ac:dyDescent="0.2">
      <c r="A666" s="1586" t="s">
        <v>448</v>
      </c>
      <c r="B666" s="1587"/>
      <c r="C666" s="1587"/>
      <c r="D666" s="1589">
        <f>SUM(D667)+D670</f>
        <v>1058</v>
      </c>
      <c r="E666" s="1590">
        <f>SUM(E667)+E670+E669</f>
        <v>3263</v>
      </c>
      <c r="F666" s="2281">
        <f>SUM(F667)+F669</f>
        <v>4949</v>
      </c>
      <c r="G666" s="2274">
        <f>SUM(G667)+G670+G669</f>
        <v>0</v>
      </c>
      <c r="H666" s="2002">
        <f>SUM(H667)+H669</f>
        <v>0</v>
      </c>
      <c r="I666" s="2334">
        <f>SUM(I667)+I669+I671</f>
        <v>1000</v>
      </c>
      <c r="J666" s="2351">
        <f>SUM(J667:J671)</f>
        <v>6000</v>
      </c>
      <c r="K666" s="1588">
        <f>SUM(K667:K671)</f>
        <v>6000</v>
      </c>
      <c r="L666" s="1591">
        <f>SUM(L667:L671)</f>
        <v>6000</v>
      </c>
      <c r="M666" s="74"/>
      <c r="N666" s="595"/>
      <c r="O666" s="595"/>
      <c r="P666" s="595"/>
      <c r="Q666" s="595"/>
    </row>
    <row r="667" spans="1:17" x14ac:dyDescent="0.2">
      <c r="A667" s="1561">
        <v>711</v>
      </c>
      <c r="B667" s="1126" t="s">
        <v>94</v>
      </c>
      <c r="C667" s="1126" t="s">
        <v>693</v>
      </c>
      <c r="D667" s="1550">
        <v>558</v>
      </c>
      <c r="E667" s="1550">
        <v>390</v>
      </c>
      <c r="F667" s="1638">
        <v>0</v>
      </c>
      <c r="G667" s="1491">
        <v>0</v>
      </c>
      <c r="H667" s="2995">
        <v>0</v>
      </c>
      <c r="I667" s="2322">
        <v>0</v>
      </c>
      <c r="J667" s="2322">
        <v>0</v>
      </c>
      <c r="K667" s="2100"/>
      <c r="L667" s="1562">
        <v>0</v>
      </c>
      <c r="M667" s="73"/>
      <c r="O667" s="65"/>
      <c r="P667" s="65"/>
    </row>
    <row r="668" spans="1:17" hidden="1" x14ac:dyDescent="0.2">
      <c r="A668" s="1561"/>
      <c r="B668" s="1126"/>
      <c r="C668" s="1126"/>
      <c r="D668" s="1522"/>
      <c r="E668" s="1522"/>
      <c r="F668" s="1433"/>
      <c r="G668" s="2233"/>
      <c r="H668" s="2905"/>
      <c r="I668" s="2322"/>
      <c r="J668" s="2322"/>
      <c r="K668" s="2100"/>
      <c r="L668" s="1563"/>
      <c r="M668" s="73"/>
      <c r="O668" s="65"/>
      <c r="P668" s="65"/>
    </row>
    <row r="669" spans="1:17" x14ac:dyDescent="0.2">
      <c r="A669" s="1561">
        <v>711</v>
      </c>
      <c r="B669" s="1126" t="s">
        <v>92</v>
      </c>
      <c r="C669" s="1126" t="s">
        <v>835</v>
      </c>
      <c r="D669" s="1522"/>
      <c r="E669" s="1522">
        <v>2873</v>
      </c>
      <c r="F669" s="1638">
        <v>4949</v>
      </c>
      <c r="G669" s="2233">
        <v>0</v>
      </c>
      <c r="H669" s="2995">
        <v>0</v>
      </c>
      <c r="I669" s="2322">
        <v>0</v>
      </c>
      <c r="J669" s="2322">
        <v>0</v>
      </c>
      <c r="K669" s="2100"/>
      <c r="L669" s="1563"/>
      <c r="M669" s="73"/>
      <c r="O669" s="65"/>
      <c r="P669" s="65"/>
    </row>
    <row r="670" spans="1:17" x14ac:dyDescent="0.2">
      <c r="A670" s="1561">
        <v>716</v>
      </c>
      <c r="B670" s="1126"/>
      <c r="C670" s="1126" t="s">
        <v>618</v>
      </c>
      <c r="D670" s="1522">
        <v>500</v>
      </c>
      <c r="E670" s="1522">
        <v>0</v>
      </c>
      <c r="F670" s="1433"/>
      <c r="G670" s="2233">
        <v>0</v>
      </c>
      <c r="H670" s="2905"/>
      <c r="I670" s="2322"/>
      <c r="J670" s="2322"/>
      <c r="K670" s="2100"/>
      <c r="L670" s="1563"/>
      <c r="M670" s="73"/>
      <c r="O670" s="65"/>
      <c r="P670" s="65"/>
    </row>
    <row r="671" spans="1:17" x14ac:dyDescent="0.2">
      <c r="A671" s="1561">
        <v>714</v>
      </c>
      <c r="B671" s="1126"/>
      <c r="C671" s="1126" t="s">
        <v>904</v>
      </c>
      <c r="D671" s="1522"/>
      <c r="E671" s="1522"/>
      <c r="F671" s="1433"/>
      <c r="G671" s="2233"/>
      <c r="H671" s="2905"/>
      <c r="I671" s="2322">
        <v>1000</v>
      </c>
      <c r="J671" s="2322">
        <v>6000</v>
      </c>
      <c r="K671" s="2100">
        <v>6000</v>
      </c>
      <c r="L671" s="1563">
        <v>6000</v>
      </c>
      <c r="M671" s="73"/>
      <c r="O671" s="65"/>
      <c r="P671" s="65"/>
    </row>
    <row r="672" spans="1:17" x14ac:dyDescent="0.2">
      <c r="A672" s="1564" t="s">
        <v>513</v>
      </c>
      <c r="B672" s="1538"/>
      <c r="C672" s="1538"/>
      <c r="D672" s="1525">
        <f>SUM(D673)</f>
        <v>12500</v>
      </c>
      <c r="E672" s="1549">
        <f t="shared" ref="E672:L672" si="75">E673</f>
        <v>0</v>
      </c>
      <c r="F672" s="2281">
        <f t="shared" si="75"/>
        <v>0</v>
      </c>
      <c r="G672" s="2234">
        <f t="shared" si="75"/>
        <v>0</v>
      </c>
      <c r="H672" s="1596">
        <f t="shared" si="75"/>
        <v>0</v>
      </c>
      <c r="I672" s="2336">
        <f>I674+I676</f>
        <v>10304</v>
      </c>
      <c r="J672" s="2349">
        <f>J674+J676</f>
        <v>0</v>
      </c>
      <c r="K672" s="1529">
        <f t="shared" si="75"/>
        <v>0</v>
      </c>
      <c r="L672" s="1560">
        <f t="shared" si="75"/>
        <v>0</v>
      </c>
      <c r="M672" s="74"/>
      <c r="N672" s="595"/>
      <c r="O672" s="595"/>
      <c r="P672" s="595"/>
      <c r="Q672" s="595"/>
    </row>
    <row r="673" spans="1:18" x14ac:dyDescent="0.2">
      <c r="A673" s="1561">
        <v>713</v>
      </c>
      <c r="B673" s="1126" t="s">
        <v>111</v>
      </c>
      <c r="C673" s="1126" t="s">
        <v>614</v>
      </c>
      <c r="D673" s="1522">
        <v>12500</v>
      </c>
      <c r="E673" s="1522"/>
      <c r="F673" s="1433">
        <v>0</v>
      </c>
      <c r="G673" s="2233">
        <v>0</v>
      </c>
      <c r="H673" s="2905">
        <v>0</v>
      </c>
      <c r="I673" s="2322">
        <v>0</v>
      </c>
      <c r="J673" s="2322">
        <v>0</v>
      </c>
      <c r="K673" s="2100"/>
      <c r="L673" s="1563">
        <v>0</v>
      </c>
      <c r="M673" s="73"/>
      <c r="O673" s="65"/>
      <c r="P673" s="65"/>
    </row>
    <row r="674" spans="1:18" x14ac:dyDescent="0.2">
      <c r="A674" s="1561">
        <v>713</v>
      </c>
      <c r="B674" s="1126" t="s">
        <v>111</v>
      </c>
      <c r="C674" s="1126" t="s">
        <v>899</v>
      </c>
      <c r="D674" s="1522"/>
      <c r="E674" s="1522"/>
      <c r="F674" s="1433"/>
      <c r="G674" s="2233"/>
      <c r="H674" s="2905"/>
      <c r="I674" s="2322">
        <v>2404</v>
      </c>
      <c r="J674" s="2322">
        <v>0</v>
      </c>
      <c r="K674" s="2100"/>
      <c r="L674" s="1563"/>
      <c r="M674" s="73"/>
      <c r="O674" s="65"/>
      <c r="P674" s="65"/>
    </row>
    <row r="675" spans="1:18" x14ac:dyDescent="0.2">
      <c r="A675" s="1561"/>
      <c r="B675" s="1126"/>
      <c r="C675" s="272" t="s">
        <v>900</v>
      </c>
      <c r="D675" s="1522"/>
      <c r="E675" s="1522"/>
      <c r="F675" s="1433"/>
      <c r="G675" s="2233"/>
      <c r="H675" s="2905"/>
      <c r="I675" s="2833">
        <v>1800</v>
      </c>
      <c r="J675" s="2833">
        <v>0</v>
      </c>
      <c r="K675" s="2100"/>
      <c r="L675" s="1563"/>
      <c r="M675" s="73"/>
      <c r="O675" s="65"/>
      <c r="P675" s="65"/>
    </row>
    <row r="676" spans="1:18" x14ac:dyDescent="0.2">
      <c r="A676" s="1561">
        <v>714</v>
      </c>
      <c r="B676" s="1126" t="s">
        <v>94</v>
      </c>
      <c r="C676" s="1126" t="s">
        <v>904</v>
      </c>
      <c r="D676" s="1522"/>
      <c r="E676" s="1522"/>
      <c r="F676" s="1433"/>
      <c r="G676" s="2233"/>
      <c r="H676" s="2905"/>
      <c r="I676" s="2322">
        <v>7900</v>
      </c>
      <c r="J676" s="2322">
        <v>0</v>
      </c>
      <c r="K676" s="2100"/>
      <c r="L676" s="1563"/>
      <c r="M676" s="73"/>
      <c r="O676" s="65"/>
      <c r="P676" s="65"/>
    </row>
    <row r="677" spans="1:18" x14ac:dyDescent="0.2">
      <c r="A677" s="1565">
        <v>713</v>
      </c>
      <c r="B677" s="1539" t="s">
        <v>111</v>
      </c>
      <c r="C677" s="1539" t="s">
        <v>615</v>
      </c>
      <c r="D677" s="1551">
        <v>10000</v>
      </c>
      <c r="E677" s="1551"/>
      <c r="F677" s="2216">
        <v>0</v>
      </c>
      <c r="G677" s="2235">
        <v>0</v>
      </c>
      <c r="H677" s="2996">
        <v>0</v>
      </c>
      <c r="I677" s="2322">
        <v>0</v>
      </c>
      <c r="J677" s="2322">
        <v>0</v>
      </c>
      <c r="K677" s="2100"/>
      <c r="L677" s="1566">
        <v>0</v>
      </c>
      <c r="M677" s="562"/>
      <c r="N677" s="550"/>
      <c r="O677" s="561"/>
      <c r="P677" s="561"/>
      <c r="Q677" s="550"/>
    </row>
    <row r="678" spans="1:18" s="34" customFormat="1" hidden="1" x14ac:dyDescent="0.2">
      <c r="A678" s="1567"/>
      <c r="B678" s="1453"/>
      <c r="C678" s="1453"/>
      <c r="D678" s="1521"/>
      <c r="E678" s="1523"/>
      <c r="F678" s="2168"/>
      <c r="G678" s="2236"/>
      <c r="H678" s="1558"/>
      <c r="I678" s="2338"/>
      <c r="J678" s="2322"/>
      <c r="K678" s="1531"/>
      <c r="L678" s="1568"/>
      <c r="M678" s="73"/>
      <c r="N678" s="20"/>
      <c r="O678" s="20"/>
      <c r="P678" s="65"/>
      <c r="Q678" s="20"/>
      <c r="R678" s="16"/>
    </row>
    <row r="679" spans="1:18" s="34" customFormat="1" x14ac:dyDescent="0.2">
      <c r="A679" s="1559" t="s">
        <v>276</v>
      </c>
      <c r="B679" s="1538" t="s">
        <v>275</v>
      </c>
      <c r="C679" s="1538"/>
      <c r="D679" s="1525">
        <f>D680</f>
        <v>2100</v>
      </c>
      <c r="E679" s="1549">
        <f>E680+E681</f>
        <v>0</v>
      </c>
      <c r="F679" s="2282">
        <f>F680+F681+F683</f>
        <v>83004</v>
      </c>
      <c r="G679" s="2234">
        <f>SUM(G680:G683)</f>
        <v>0</v>
      </c>
      <c r="H679" s="1919">
        <f>H680+H681+H683</f>
        <v>15000</v>
      </c>
      <c r="I679" s="2339">
        <f>I680+I681+I683</f>
        <v>15895</v>
      </c>
      <c r="J679" s="2350">
        <f>J680+J681+J683</f>
        <v>0</v>
      </c>
      <c r="K679" s="1529">
        <f>SUM(K680:K686)</f>
        <v>0</v>
      </c>
      <c r="L679" s="1560">
        <f>SUM(L680:L686)</f>
        <v>0</v>
      </c>
      <c r="M679" s="73"/>
      <c r="N679" s="20"/>
      <c r="O679" s="20"/>
      <c r="P679" s="65"/>
      <c r="Q679" s="20"/>
      <c r="R679" s="16"/>
    </row>
    <row r="680" spans="1:18" s="34" customFormat="1" x14ac:dyDescent="0.2">
      <c r="A680" s="1567">
        <v>717</v>
      </c>
      <c r="B680" s="1453" t="s">
        <v>97</v>
      </c>
      <c r="C680" s="1453" t="s">
        <v>885</v>
      </c>
      <c r="D680" s="1522">
        <v>2100</v>
      </c>
      <c r="E680" s="1522"/>
      <c r="F680" s="1433"/>
      <c r="G680" s="2233">
        <v>0</v>
      </c>
      <c r="H680" s="2905">
        <v>15000</v>
      </c>
      <c r="I680" s="3095">
        <v>15895</v>
      </c>
      <c r="J680" s="2322">
        <v>0</v>
      </c>
      <c r="K680" s="2100"/>
      <c r="L680" s="1563"/>
      <c r="M680" s="73"/>
      <c r="N680" s="20"/>
      <c r="O680" s="20"/>
      <c r="P680" s="65"/>
      <c r="Q680" s="20"/>
      <c r="R680" s="16"/>
    </row>
    <row r="681" spans="1:18" s="34" customFormat="1" x14ac:dyDescent="0.2">
      <c r="A681" s="1567">
        <v>717</v>
      </c>
      <c r="B681" s="1453"/>
      <c r="C681" s="1453" t="s">
        <v>794</v>
      </c>
      <c r="D681" s="1523"/>
      <c r="E681" s="1522">
        <v>0</v>
      </c>
      <c r="F681" s="2275">
        <v>41779</v>
      </c>
      <c r="G681" s="2233">
        <v>0</v>
      </c>
      <c r="H681" s="2997">
        <v>0</v>
      </c>
      <c r="I681" s="3096">
        <v>0</v>
      </c>
      <c r="J681" s="2322">
        <v>0</v>
      </c>
      <c r="K681" s="2100"/>
      <c r="L681" s="1563"/>
      <c r="M681" s="73"/>
      <c r="N681" s="20"/>
      <c r="O681" s="20"/>
      <c r="P681" s="65"/>
      <c r="Q681" s="20"/>
      <c r="R681" s="16"/>
    </row>
    <row r="682" spans="1:18" s="34" customFormat="1" x14ac:dyDescent="0.2">
      <c r="A682" s="1567"/>
      <c r="B682" s="1453"/>
      <c r="C682" t="s">
        <v>862</v>
      </c>
      <c r="D682" s="1523"/>
      <c r="E682" s="1522"/>
      <c r="F682" s="2275"/>
      <c r="G682" s="2233">
        <v>0</v>
      </c>
      <c r="H682" s="2997"/>
      <c r="I682" s="3096"/>
      <c r="J682" s="2322"/>
      <c r="K682" s="2100"/>
      <c r="L682" s="1563"/>
      <c r="M682" s="73"/>
      <c r="N682" s="20"/>
      <c r="O682" s="20"/>
      <c r="P682" s="65"/>
      <c r="Q682" s="20"/>
      <c r="R682" s="16"/>
    </row>
    <row r="683" spans="1:18" s="34" customFormat="1" x14ac:dyDescent="0.2">
      <c r="A683" s="1567"/>
      <c r="B683" s="1453"/>
      <c r="C683" s="2049" t="s">
        <v>842</v>
      </c>
      <c r="D683" s="1523"/>
      <c r="E683" s="2101">
        <v>0</v>
      </c>
      <c r="F683" s="2276">
        <v>41225</v>
      </c>
      <c r="G683" s="2237">
        <v>0</v>
      </c>
      <c r="H683" s="2998">
        <v>0</v>
      </c>
      <c r="I683" s="3097">
        <v>0</v>
      </c>
      <c r="J683" s="2322">
        <v>0</v>
      </c>
      <c r="K683" s="2102"/>
      <c r="L683" s="1568"/>
      <c r="M683" s="73"/>
      <c r="N683" s="20"/>
      <c r="O683" s="20"/>
      <c r="P683" s="65"/>
      <c r="Q683" s="20"/>
      <c r="R683" s="16"/>
    </row>
    <row r="684" spans="1:18" s="34" customFormat="1" x14ac:dyDescent="0.2">
      <c r="A684" s="1569" t="s">
        <v>694</v>
      </c>
      <c r="B684" s="1538" t="s">
        <v>695</v>
      </c>
      <c r="C684" s="1538"/>
      <c r="D684" s="1525">
        <f t="shared" ref="D684:J684" si="76">SUM(D685)</f>
        <v>1000</v>
      </c>
      <c r="E684" s="1549">
        <f t="shared" si="76"/>
        <v>0</v>
      </c>
      <c r="F684" s="2281">
        <f t="shared" si="76"/>
        <v>0</v>
      </c>
      <c r="G684" s="2234">
        <f t="shared" si="76"/>
        <v>0</v>
      </c>
      <c r="H684" s="1596">
        <f t="shared" si="76"/>
        <v>0</v>
      </c>
      <c r="I684" s="2336">
        <f t="shared" si="76"/>
        <v>0</v>
      </c>
      <c r="J684" s="2346">
        <f t="shared" si="76"/>
        <v>0</v>
      </c>
      <c r="K684" s="1529">
        <v>0</v>
      </c>
      <c r="L684" s="1560">
        <v>0</v>
      </c>
      <c r="M684" s="73"/>
      <c r="N684" s="20"/>
      <c r="O684" s="20"/>
      <c r="P684" s="65"/>
      <c r="Q684" s="20"/>
      <c r="R684" s="16"/>
    </row>
    <row r="685" spans="1:18" s="34" customFormat="1" x14ac:dyDescent="0.2">
      <c r="A685" s="1561">
        <v>713</v>
      </c>
      <c r="B685" s="1126" t="s">
        <v>111</v>
      </c>
      <c r="C685" s="1126" t="s">
        <v>696</v>
      </c>
      <c r="D685" s="1550">
        <v>1000</v>
      </c>
      <c r="E685" s="1550"/>
      <c r="F685" s="1638">
        <v>0</v>
      </c>
      <c r="G685" s="1491">
        <v>0</v>
      </c>
      <c r="H685" s="2995">
        <v>0</v>
      </c>
      <c r="I685" s="3098">
        <v>0</v>
      </c>
      <c r="J685" s="2322">
        <v>0</v>
      </c>
      <c r="K685" s="2100"/>
      <c r="L685" s="1562">
        <v>0</v>
      </c>
      <c r="M685" s="73"/>
      <c r="N685" s="20"/>
      <c r="O685" s="20"/>
      <c r="P685" s="65"/>
      <c r="Q685" s="20"/>
      <c r="R685" s="16"/>
    </row>
    <row r="686" spans="1:18" s="139" customFormat="1" ht="11.25" x14ac:dyDescent="0.2">
      <c r="A686" s="3796" t="s">
        <v>616</v>
      </c>
      <c r="B686" s="3797"/>
      <c r="C686" s="3797"/>
      <c r="D686" s="1525">
        <f>SUM(D687:D689)</f>
        <v>0</v>
      </c>
      <c r="E686" s="1549">
        <f>E689+E687</f>
        <v>23839</v>
      </c>
      <c r="F686" s="2281">
        <f>F689</f>
        <v>28641</v>
      </c>
      <c r="G686" s="2234">
        <f>G687+G689</f>
        <v>0</v>
      </c>
      <c r="H686" s="1596">
        <v>0</v>
      </c>
      <c r="I686" s="2336">
        <v>0</v>
      </c>
      <c r="J686" s="2346">
        <v>0</v>
      </c>
      <c r="K686" s="1529">
        <v>0</v>
      </c>
      <c r="L686" s="1560">
        <v>0</v>
      </c>
      <c r="M686" s="74"/>
      <c r="N686" s="595"/>
      <c r="O686" s="595"/>
      <c r="P686" s="595"/>
      <c r="Q686" s="595"/>
    </row>
    <row r="687" spans="1:18" s="34" customFormat="1" x14ac:dyDescent="0.2">
      <c r="A687" s="1567">
        <v>717</v>
      </c>
      <c r="B687" s="1453" t="s">
        <v>97</v>
      </c>
      <c r="C687" s="1453" t="s">
        <v>781</v>
      </c>
      <c r="D687" s="1522">
        <v>0</v>
      </c>
      <c r="E687" s="1835"/>
      <c r="F687" s="1433"/>
      <c r="G687" s="2169">
        <v>0</v>
      </c>
      <c r="H687" s="2905"/>
      <c r="I687" s="3095"/>
      <c r="J687" s="2322"/>
      <c r="K687" s="2100"/>
      <c r="L687" s="1563"/>
      <c r="M687" s="73"/>
      <c r="N687" s="20"/>
      <c r="O687" s="603"/>
      <c r="P687" s="65"/>
      <c r="Q687" s="20"/>
      <c r="R687" s="16"/>
    </row>
    <row r="688" spans="1:18" hidden="1" x14ac:dyDescent="0.2">
      <c r="A688" s="1567"/>
      <c r="B688" s="1453"/>
      <c r="C688" s="1453"/>
      <c r="D688" s="1523"/>
      <c r="E688" s="1523"/>
      <c r="F688" s="2168"/>
      <c r="G688" s="2236"/>
      <c r="H688" s="2999"/>
      <c r="I688" s="3099"/>
      <c r="J688" s="2322"/>
      <c r="K688" s="2100"/>
      <c r="L688" s="1568"/>
      <c r="M688" s="73"/>
      <c r="P688" s="65"/>
    </row>
    <row r="689" spans="1:18" x14ac:dyDescent="0.2">
      <c r="A689" s="1567">
        <v>716</v>
      </c>
      <c r="B689" s="1453"/>
      <c r="C689" s="1453" t="s">
        <v>863</v>
      </c>
      <c r="D689" s="1522"/>
      <c r="E689" s="1522">
        <v>23839</v>
      </c>
      <c r="F689" s="1433">
        <v>28641</v>
      </c>
      <c r="G689" s="2233">
        <v>0</v>
      </c>
      <c r="H689" s="2905"/>
      <c r="I689" s="3095"/>
      <c r="J689" s="2322"/>
      <c r="K689" s="2100"/>
      <c r="L689" s="1563"/>
      <c r="M689" s="73"/>
      <c r="P689" s="65"/>
    </row>
    <row r="690" spans="1:18" s="139" customFormat="1" ht="11.25" x14ac:dyDescent="0.2">
      <c r="A690" s="1570" t="s">
        <v>617</v>
      </c>
      <c r="B690" s="1540"/>
      <c r="C690" s="1540"/>
      <c r="D690" s="1525">
        <f>D691</f>
        <v>0</v>
      </c>
      <c r="E690" s="1549">
        <f>SUM(E691)</f>
        <v>0</v>
      </c>
      <c r="F690" s="2281">
        <f>F691</f>
        <v>0</v>
      </c>
      <c r="G690" s="2234">
        <f>SUM(G691)</f>
        <v>0</v>
      </c>
      <c r="H690" s="1596">
        <f>H691</f>
        <v>0</v>
      </c>
      <c r="I690" s="2336">
        <f>I691</f>
        <v>0</v>
      </c>
      <c r="J690" s="2346">
        <f>J691</f>
        <v>0</v>
      </c>
      <c r="K690" s="1529">
        <v>0</v>
      </c>
      <c r="L690" s="1560">
        <v>0</v>
      </c>
      <c r="M690" s="74"/>
      <c r="N690" s="595"/>
      <c r="O690" s="595"/>
      <c r="P690" s="595"/>
      <c r="Q690" s="595"/>
    </row>
    <row r="691" spans="1:18" x14ac:dyDescent="0.2">
      <c r="A691" s="1567">
        <v>717</v>
      </c>
      <c r="B691" s="1453" t="s">
        <v>94</v>
      </c>
      <c r="C691" s="1453" t="s">
        <v>618</v>
      </c>
      <c r="D691" s="1418">
        <v>0</v>
      </c>
      <c r="E691" s="1522">
        <v>0</v>
      </c>
      <c r="F691" s="1433">
        <v>0</v>
      </c>
      <c r="G691" s="2233">
        <v>0</v>
      </c>
      <c r="H691" s="2905">
        <v>0</v>
      </c>
      <c r="I691" s="3095">
        <v>0</v>
      </c>
      <c r="J691" s="2322">
        <v>0</v>
      </c>
      <c r="K691" s="1531"/>
      <c r="L691" s="1568"/>
      <c r="M691" s="73"/>
      <c r="N691" s="60"/>
      <c r="P691" s="65"/>
    </row>
    <row r="692" spans="1:18" s="34" customFormat="1" hidden="1" x14ac:dyDescent="0.2">
      <c r="A692" s="1567"/>
      <c r="B692" s="1453"/>
      <c r="C692" s="1453"/>
      <c r="D692" s="1521"/>
      <c r="E692" s="1523"/>
      <c r="F692" s="2168"/>
      <c r="G692" s="2236"/>
      <c r="H692" s="1558"/>
      <c r="I692" s="2338"/>
      <c r="J692" s="2322"/>
      <c r="K692" s="1531"/>
      <c r="L692" s="1568"/>
      <c r="M692" s="73"/>
      <c r="N692" s="60"/>
      <c r="O692" s="20"/>
      <c r="P692" s="65"/>
      <c r="Q692" s="20"/>
      <c r="R692" s="16"/>
    </row>
    <row r="693" spans="1:18" s="656" customFormat="1" ht="11.25" x14ac:dyDescent="0.2">
      <c r="A693" s="1559" t="s">
        <v>308</v>
      </c>
      <c r="B693" s="1538" t="s">
        <v>309</v>
      </c>
      <c r="C693" s="1538"/>
      <c r="D693" s="1525">
        <f>SUM(D694:D699)</f>
        <v>0</v>
      </c>
      <c r="E693" s="1549">
        <f>E694+E695+E696+E698+E699</f>
        <v>0</v>
      </c>
      <c r="F693" s="2281">
        <f>SUM(F694:F699)</f>
        <v>0</v>
      </c>
      <c r="G693" s="2234">
        <f>G694+G695+G696+G698+G699</f>
        <v>0</v>
      </c>
      <c r="H693" s="1596">
        <f>SUM(H694:H699)</f>
        <v>0</v>
      </c>
      <c r="I693" s="2336">
        <f>SUM(I694:I699)</f>
        <v>0</v>
      </c>
      <c r="J693" s="2346">
        <f>J694+J695+J696+J698+J699</f>
        <v>83880</v>
      </c>
      <c r="K693" s="1529">
        <f>SUM(K694:K699)</f>
        <v>0</v>
      </c>
      <c r="L693" s="1560">
        <f>SUM(L694:L699)</f>
        <v>0</v>
      </c>
      <c r="M693" s="74"/>
      <c r="N693" s="595"/>
      <c r="O693" s="74"/>
      <c r="P693" s="595"/>
      <c r="Q693" s="595"/>
      <c r="R693" s="139"/>
    </row>
    <row r="694" spans="1:18" s="34" customFormat="1" x14ac:dyDescent="0.2">
      <c r="A694" s="1571">
        <v>717</v>
      </c>
      <c r="B694" s="1541" t="s">
        <v>94</v>
      </c>
      <c r="C694" s="1541" t="s">
        <v>547</v>
      </c>
      <c r="D694" s="1536">
        <v>0</v>
      </c>
      <c r="E694" s="1552">
        <v>0</v>
      </c>
      <c r="F694" s="2246">
        <v>0</v>
      </c>
      <c r="G694" s="2238">
        <v>0</v>
      </c>
      <c r="H694" s="3000">
        <v>0</v>
      </c>
      <c r="I694" s="3100">
        <v>0</v>
      </c>
      <c r="J694" s="2322">
        <v>0</v>
      </c>
      <c r="K694" s="1524">
        <v>0</v>
      </c>
      <c r="L694" s="1563">
        <v>0</v>
      </c>
      <c r="M694" s="581"/>
      <c r="N694" s="20"/>
      <c r="O694" s="581"/>
      <c r="P694" s="603"/>
      <c r="Q694" s="20"/>
      <c r="R694" s="16"/>
    </row>
    <row r="695" spans="1:18" s="34" customFormat="1" x14ac:dyDescent="0.2">
      <c r="A695" s="1567">
        <v>717</v>
      </c>
      <c r="B695" s="1453" t="s">
        <v>94</v>
      </c>
      <c r="C695" s="1453" t="s">
        <v>547</v>
      </c>
      <c r="D695" s="1418">
        <v>0</v>
      </c>
      <c r="E695" s="1522">
        <v>0</v>
      </c>
      <c r="F695" s="1433">
        <v>0</v>
      </c>
      <c r="G695" s="2233">
        <v>0</v>
      </c>
      <c r="H695" s="2905">
        <v>0</v>
      </c>
      <c r="I695" s="3095">
        <v>0</v>
      </c>
      <c r="J695" s="2322">
        <v>0</v>
      </c>
      <c r="K695" s="1524">
        <v>0</v>
      </c>
      <c r="L695" s="1563">
        <v>0</v>
      </c>
      <c r="M695" s="581"/>
      <c r="N695" s="20"/>
      <c r="O695" s="581"/>
      <c r="P695" s="603"/>
      <c r="Q695" s="20"/>
      <c r="R695" s="16"/>
    </row>
    <row r="696" spans="1:18" s="34" customFormat="1" x14ac:dyDescent="0.2">
      <c r="A696" s="1567">
        <v>713</v>
      </c>
      <c r="B696" s="1453" t="s">
        <v>111</v>
      </c>
      <c r="C696" s="1453" t="s">
        <v>458</v>
      </c>
      <c r="D696" s="1418">
        <v>0</v>
      </c>
      <c r="E696" s="1522">
        <v>0</v>
      </c>
      <c r="F696" s="1433">
        <v>0</v>
      </c>
      <c r="G696" s="2233">
        <v>0</v>
      </c>
      <c r="H696" s="2905">
        <v>0</v>
      </c>
      <c r="I696" s="3095">
        <v>0</v>
      </c>
      <c r="J696" s="2322">
        <v>83880</v>
      </c>
      <c r="K696" s="1524">
        <v>0</v>
      </c>
      <c r="L696" s="1563">
        <v>0</v>
      </c>
      <c r="M696" s="581"/>
      <c r="N696" s="20"/>
      <c r="O696" s="581"/>
      <c r="P696" s="603"/>
      <c r="Q696" s="20"/>
      <c r="R696" s="16"/>
    </row>
    <row r="697" spans="1:18" s="3172" customFormat="1" x14ac:dyDescent="0.2">
      <c r="A697" s="3158"/>
      <c r="B697" s="3159"/>
      <c r="C697" s="3159" t="s">
        <v>952</v>
      </c>
      <c r="D697" s="3160"/>
      <c r="E697" s="3161"/>
      <c r="F697" s="3162"/>
      <c r="G697" s="3163"/>
      <c r="H697" s="3164"/>
      <c r="I697" s="3165"/>
      <c r="J697" s="2833">
        <v>79686</v>
      </c>
      <c r="K697" s="3166"/>
      <c r="L697" s="3167"/>
      <c r="M697" s="3168"/>
      <c r="N697" s="3169"/>
      <c r="O697" s="3168"/>
      <c r="P697" s="3170"/>
      <c r="Q697" s="3169"/>
      <c r="R697" s="3171"/>
    </row>
    <row r="698" spans="1:18" s="34" customFormat="1" x14ac:dyDescent="0.2">
      <c r="A698" s="1567">
        <v>717</v>
      </c>
      <c r="B698" s="1453" t="s">
        <v>94</v>
      </c>
      <c r="C698" s="1453" t="s">
        <v>669</v>
      </c>
      <c r="D698" s="1418">
        <v>0</v>
      </c>
      <c r="E698" s="1522">
        <v>0</v>
      </c>
      <c r="F698" s="1433">
        <v>0</v>
      </c>
      <c r="G698" s="2233">
        <v>0</v>
      </c>
      <c r="H698" s="2905">
        <v>0</v>
      </c>
      <c r="I698" s="3095">
        <v>0</v>
      </c>
      <c r="J698" s="2322">
        <v>0</v>
      </c>
      <c r="K698" s="1524">
        <v>0</v>
      </c>
      <c r="L698" s="1563">
        <v>0</v>
      </c>
      <c r="M698" s="581"/>
      <c r="N698" s="20"/>
      <c r="O698" s="581"/>
      <c r="P698" s="603"/>
      <c r="Q698" s="20"/>
      <c r="R698" s="16"/>
    </row>
    <row r="699" spans="1:18" s="34" customFormat="1" x14ac:dyDescent="0.2">
      <c r="A699" s="1567">
        <v>717</v>
      </c>
      <c r="B699" s="1453" t="s">
        <v>94</v>
      </c>
      <c r="C699" s="1453" t="s">
        <v>669</v>
      </c>
      <c r="D699" s="1418">
        <v>0</v>
      </c>
      <c r="E699" s="1522">
        <v>0</v>
      </c>
      <c r="F699" s="1433">
        <v>0</v>
      </c>
      <c r="G699" s="2233">
        <v>0</v>
      </c>
      <c r="H699" s="2905">
        <v>0</v>
      </c>
      <c r="I699" s="3095">
        <v>0</v>
      </c>
      <c r="J699" s="2322">
        <v>0</v>
      </c>
      <c r="K699" s="1524">
        <v>0</v>
      </c>
      <c r="L699" s="1563">
        <v>0</v>
      </c>
      <c r="M699" s="581"/>
      <c r="N699" s="20"/>
      <c r="O699" s="581"/>
      <c r="P699" s="603"/>
      <c r="Q699" s="20"/>
      <c r="R699" s="16"/>
    </row>
    <row r="700" spans="1:18" s="34" customFormat="1" hidden="1" x14ac:dyDescent="0.2">
      <c r="A700" s="1567"/>
      <c r="B700" s="1453"/>
      <c r="C700" s="1453"/>
      <c r="D700" s="1526"/>
      <c r="E700" s="1553"/>
      <c r="F700" s="2277"/>
      <c r="G700" s="2239"/>
      <c r="H700" s="1597"/>
      <c r="I700" s="2340"/>
      <c r="J700" s="2322"/>
      <c r="K700" s="1532"/>
      <c r="L700" s="1572"/>
      <c r="M700" s="581"/>
      <c r="N700" s="20"/>
      <c r="O700" s="581"/>
      <c r="P700" s="603"/>
      <c r="Q700" s="20"/>
      <c r="R700" s="16"/>
    </row>
    <row r="701" spans="1:18" s="34" customFormat="1" x14ac:dyDescent="0.2">
      <c r="A701" s="1559" t="s">
        <v>314</v>
      </c>
      <c r="B701" s="1538" t="s">
        <v>313</v>
      </c>
      <c r="C701" s="1538"/>
      <c r="D701" s="1525">
        <f>D702+D703</f>
        <v>3452466</v>
      </c>
      <c r="E701" s="1549">
        <f>E702+E703+E705</f>
        <v>6216370</v>
      </c>
      <c r="F701" s="2281">
        <f>F702+F703+F705</f>
        <v>2755994</v>
      </c>
      <c r="G701" s="2234">
        <f>G702+G703+G705</f>
        <v>0</v>
      </c>
      <c r="H701" s="1596">
        <f>H702+H703</f>
        <v>0</v>
      </c>
      <c r="I701" s="2336">
        <f>I702+I703</f>
        <v>3242</v>
      </c>
      <c r="J701" s="2349">
        <f>J702+J703</f>
        <v>0</v>
      </c>
      <c r="K701" s="1529">
        <f>K702+K703</f>
        <v>0</v>
      </c>
      <c r="L701" s="1560">
        <f>L702+L703</f>
        <v>0</v>
      </c>
      <c r="M701" s="581"/>
      <c r="N701" s="20"/>
      <c r="O701" s="581"/>
      <c r="P701" s="603"/>
      <c r="Q701" s="20"/>
      <c r="R701" s="16"/>
    </row>
    <row r="702" spans="1:18" s="34" customFormat="1" x14ac:dyDescent="0.2">
      <c r="A702" s="1567">
        <v>717</v>
      </c>
      <c r="B702" s="1453" t="s">
        <v>94</v>
      </c>
      <c r="C702" s="1453" t="s">
        <v>618</v>
      </c>
      <c r="D702" s="1522">
        <v>0</v>
      </c>
      <c r="E702" s="1522">
        <v>0</v>
      </c>
      <c r="F702" s="1433"/>
      <c r="G702" s="2233">
        <v>0</v>
      </c>
      <c r="H702" s="2905"/>
      <c r="I702" s="2322"/>
      <c r="J702" s="2322"/>
      <c r="K702" s="2100"/>
      <c r="L702" s="1563"/>
      <c r="M702" s="581"/>
      <c r="N702" s="20"/>
      <c r="O702" s="581"/>
      <c r="P702" s="603"/>
      <c r="Q702" s="20"/>
      <c r="R702" s="16"/>
    </row>
    <row r="703" spans="1:18" s="34" customFormat="1" x14ac:dyDescent="0.2">
      <c r="A703" s="1567">
        <v>717</v>
      </c>
      <c r="B703" s="1453" t="s">
        <v>94</v>
      </c>
      <c r="C703" s="1453" t="s">
        <v>697</v>
      </c>
      <c r="D703" s="1522">
        <v>3452466</v>
      </c>
      <c r="E703" s="1522">
        <v>6214044</v>
      </c>
      <c r="F703" s="1433">
        <v>2753708</v>
      </c>
      <c r="G703" s="2233">
        <v>0</v>
      </c>
      <c r="H703" s="2905">
        <v>0</v>
      </c>
      <c r="I703" s="2322">
        <v>3242</v>
      </c>
      <c r="J703" s="2322">
        <v>0</v>
      </c>
      <c r="K703" s="2100"/>
      <c r="L703" s="1563"/>
      <c r="M703" s="581"/>
      <c r="N703" s="20"/>
      <c r="O703" s="581"/>
      <c r="P703" s="603"/>
      <c r="Q703" s="20"/>
      <c r="R703" s="16"/>
    </row>
    <row r="704" spans="1:18" s="34" customFormat="1" x14ac:dyDescent="0.2">
      <c r="A704" s="1567"/>
      <c r="B704" s="1453"/>
      <c r="C704" s="1866" t="s">
        <v>780</v>
      </c>
      <c r="D704" s="1904">
        <v>2393188.44</v>
      </c>
      <c r="E704" s="1904">
        <v>5615722</v>
      </c>
      <c r="F704" s="2263"/>
      <c r="G704" s="2240">
        <v>0</v>
      </c>
      <c r="H704" s="3001">
        <v>0</v>
      </c>
      <c r="I704" s="2322">
        <v>0</v>
      </c>
      <c r="J704" s="2322">
        <v>0</v>
      </c>
      <c r="K704" s="2102"/>
      <c r="L704" s="2103"/>
      <c r="M704" s="581"/>
      <c r="N704" s="20"/>
      <c r="O704" s="581"/>
      <c r="P704" s="603"/>
      <c r="Q704" s="20"/>
      <c r="R704" s="16"/>
    </row>
    <row r="705" spans="1:18" s="34" customFormat="1" x14ac:dyDescent="0.2">
      <c r="A705" s="1567">
        <v>713</v>
      </c>
      <c r="B705" s="1453" t="s">
        <v>111</v>
      </c>
      <c r="C705" s="1453" t="s">
        <v>836</v>
      </c>
      <c r="D705" s="1912"/>
      <c r="E705" s="1550">
        <v>2326</v>
      </c>
      <c r="F705" s="1641">
        <v>2286</v>
      </c>
      <c r="G705" s="1491">
        <v>0</v>
      </c>
      <c r="H705" s="3002"/>
      <c r="I705" s="2322"/>
      <c r="J705" s="2322"/>
      <c r="K705" s="2100"/>
      <c r="L705" s="1563"/>
      <c r="M705" s="581"/>
      <c r="N705" s="20"/>
      <c r="O705" s="581"/>
      <c r="P705" s="603"/>
      <c r="Q705" s="20"/>
      <c r="R705" s="16"/>
    </row>
    <row r="706" spans="1:18" s="139" customFormat="1" ht="11.25" x14ac:dyDescent="0.2">
      <c r="A706" s="1559" t="s">
        <v>619</v>
      </c>
      <c r="B706" s="1538"/>
      <c r="C706" s="1538"/>
      <c r="D706" s="1525">
        <f t="shared" ref="D706:K706" si="77">SUM(D707,D708,D709,D710,D711,D713)+D712</f>
        <v>2200</v>
      </c>
      <c r="E706" s="1549">
        <f t="shared" si="77"/>
        <v>5620</v>
      </c>
      <c r="F706" s="2281">
        <f t="shared" si="77"/>
        <v>0</v>
      </c>
      <c r="G706" s="2234">
        <f t="shared" si="77"/>
        <v>15000</v>
      </c>
      <c r="H706" s="1596">
        <f t="shared" si="77"/>
        <v>15000</v>
      </c>
      <c r="I706" s="2336">
        <f>SUM(I707,I708,I709,I710,I711,I713)+I712</f>
        <v>0</v>
      </c>
      <c r="J706" s="2349">
        <f>SUM(J707,J708,J709,J710,J711,J713)+J712</f>
        <v>14388</v>
      </c>
      <c r="K706" s="1529">
        <f t="shared" si="77"/>
        <v>0</v>
      </c>
      <c r="L706" s="1560">
        <f>SUM(L707:L713)</f>
        <v>0</v>
      </c>
      <c r="M706" s="74"/>
      <c r="N706" s="595"/>
      <c r="O706" s="74"/>
      <c r="P706" s="74"/>
      <c r="Q706" s="74"/>
    </row>
    <row r="707" spans="1:18" s="34" customFormat="1" x14ac:dyDescent="0.2">
      <c r="A707" s="1567">
        <v>717</v>
      </c>
      <c r="B707" s="1453" t="s">
        <v>94</v>
      </c>
      <c r="C707" s="1453" t="s">
        <v>864</v>
      </c>
      <c r="D707" s="1522">
        <v>0</v>
      </c>
      <c r="E707" s="1522">
        <v>0</v>
      </c>
      <c r="F707" s="1433">
        <v>0</v>
      </c>
      <c r="G707" s="2233">
        <v>15000</v>
      </c>
      <c r="H707" s="2905">
        <v>15000</v>
      </c>
      <c r="I707" s="3095">
        <v>0</v>
      </c>
      <c r="J707" s="2322">
        <v>14388</v>
      </c>
      <c r="K707" s="2104">
        <v>0</v>
      </c>
      <c r="L707" s="1563">
        <v>0</v>
      </c>
      <c r="M707" s="73"/>
      <c r="N707" s="20"/>
      <c r="O707" s="65"/>
      <c r="P707" s="65"/>
      <c r="Q707" s="65"/>
    </row>
    <row r="708" spans="1:18" x14ac:dyDescent="0.2">
      <c r="A708" s="1567">
        <v>716</v>
      </c>
      <c r="B708" s="1453"/>
      <c r="C708" s="1453" t="s">
        <v>329</v>
      </c>
      <c r="D708" s="1522">
        <v>2200</v>
      </c>
      <c r="E708" s="1522">
        <v>5620</v>
      </c>
      <c r="F708" s="1433">
        <v>0</v>
      </c>
      <c r="G708" s="2233">
        <v>0</v>
      </c>
      <c r="H708" s="2905">
        <v>0</v>
      </c>
      <c r="I708" s="3095">
        <v>0</v>
      </c>
      <c r="J708" s="2322">
        <v>0</v>
      </c>
      <c r="K708" s="2104"/>
      <c r="L708" s="1563"/>
      <c r="M708" s="73"/>
      <c r="N708" s="60"/>
      <c r="O708" s="73"/>
      <c r="P708" s="65"/>
      <c r="Q708" s="65"/>
    </row>
    <row r="709" spans="1:18" x14ac:dyDescent="0.2">
      <c r="A709" s="1567">
        <v>717</v>
      </c>
      <c r="B709" s="1453" t="s">
        <v>94</v>
      </c>
      <c r="C709" s="1453" t="s">
        <v>83</v>
      </c>
      <c r="D709" s="1522">
        <v>0</v>
      </c>
      <c r="E709" s="1522">
        <v>0</v>
      </c>
      <c r="F709" s="1433">
        <v>0</v>
      </c>
      <c r="G709" s="2233">
        <v>0</v>
      </c>
      <c r="H709" s="2905">
        <v>0</v>
      </c>
      <c r="I709" s="3095">
        <v>0</v>
      </c>
      <c r="J709" s="2322">
        <v>0</v>
      </c>
      <c r="K709" s="2104">
        <v>0</v>
      </c>
      <c r="L709" s="1563">
        <v>0</v>
      </c>
      <c r="M709" s="73"/>
      <c r="N709" s="60"/>
      <c r="O709" s="65"/>
      <c r="P709" s="65"/>
      <c r="Q709" s="65"/>
    </row>
    <row r="710" spans="1:18" s="34" customFormat="1" x14ac:dyDescent="0.2">
      <c r="A710" s="1567">
        <v>717</v>
      </c>
      <c r="B710" s="1453" t="s">
        <v>94</v>
      </c>
      <c r="C710" s="1453" t="s">
        <v>620</v>
      </c>
      <c r="D710" s="1522">
        <v>0</v>
      </c>
      <c r="E710" s="1522">
        <v>0</v>
      </c>
      <c r="F710" s="1433">
        <v>0</v>
      </c>
      <c r="G710" s="2233">
        <v>0</v>
      </c>
      <c r="H710" s="2905">
        <v>0</v>
      </c>
      <c r="I710" s="3095">
        <v>0</v>
      </c>
      <c r="J710" s="2322">
        <v>0</v>
      </c>
      <c r="K710" s="2104">
        <v>0</v>
      </c>
      <c r="L710" s="1563">
        <v>0</v>
      </c>
      <c r="M710" s="73"/>
      <c r="N710" s="60"/>
      <c r="O710" s="65"/>
      <c r="P710" s="73"/>
      <c r="Q710" s="73"/>
      <c r="R710" s="16"/>
    </row>
    <row r="711" spans="1:18" s="34" customFormat="1" x14ac:dyDescent="0.2">
      <c r="A711" s="1567">
        <v>717</v>
      </c>
      <c r="B711" s="1453" t="s">
        <v>94</v>
      </c>
      <c r="C711" s="1453" t="s">
        <v>670</v>
      </c>
      <c r="D711" s="1522">
        <v>0</v>
      </c>
      <c r="E711" s="1522">
        <v>0</v>
      </c>
      <c r="F711" s="1433">
        <v>0</v>
      </c>
      <c r="G711" s="2233">
        <v>0</v>
      </c>
      <c r="H711" s="2905">
        <v>0</v>
      </c>
      <c r="I711" s="3095">
        <v>0</v>
      </c>
      <c r="J711" s="2322">
        <v>0</v>
      </c>
      <c r="K711" s="2104">
        <v>0</v>
      </c>
      <c r="L711" s="1563">
        <v>0</v>
      </c>
      <c r="M711" s="73"/>
      <c r="N711" s="65"/>
      <c r="O711" s="73"/>
      <c r="P711" s="65"/>
      <c r="Q711" s="65"/>
      <c r="R711" s="16"/>
    </row>
    <row r="712" spans="1:18" s="34" customFormat="1" x14ac:dyDescent="0.2">
      <c r="A712" s="1573">
        <v>717</v>
      </c>
      <c r="B712" s="1542" t="s">
        <v>94</v>
      </c>
      <c r="C712" s="1542" t="s">
        <v>670</v>
      </c>
      <c r="D712" s="1554">
        <v>0</v>
      </c>
      <c r="E712" s="1554">
        <v>0</v>
      </c>
      <c r="F712" s="2278">
        <v>0</v>
      </c>
      <c r="G712" s="2241">
        <v>0</v>
      </c>
      <c r="H712" s="3003">
        <v>0</v>
      </c>
      <c r="I712" s="3101">
        <v>0</v>
      </c>
      <c r="J712" s="2322">
        <v>0</v>
      </c>
      <c r="K712" s="2104">
        <v>0</v>
      </c>
      <c r="L712" s="1574">
        <v>0</v>
      </c>
      <c r="M712" s="657"/>
      <c r="N712" s="653"/>
      <c r="O712" s="657"/>
      <c r="P712" s="653"/>
      <c r="Q712" s="653"/>
      <c r="R712" s="16"/>
    </row>
    <row r="713" spans="1:18" s="34" customFormat="1" x14ac:dyDescent="0.2">
      <c r="A713" s="1567">
        <v>717</v>
      </c>
      <c r="B713" s="1453" t="s">
        <v>94</v>
      </c>
      <c r="C713" s="1453" t="s">
        <v>671</v>
      </c>
      <c r="D713" s="1522">
        <v>0</v>
      </c>
      <c r="E713" s="1522">
        <v>0</v>
      </c>
      <c r="F713" s="1433">
        <v>0</v>
      </c>
      <c r="G713" s="2233">
        <v>0</v>
      </c>
      <c r="H713" s="2905">
        <v>0</v>
      </c>
      <c r="I713" s="3095">
        <v>0</v>
      </c>
      <c r="J713" s="2322">
        <v>0</v>
      </c>
      <c r="K713" s="2104">
        <v>0</v>
      </c>
      <c r="L713" s="1563">
        <v>0</v>
      </c>
      <c r="M713" s="73"/>
      <c r="N713" s="65"/>
      <c r="O713" s="65"/>
      <c r="P713" s="65"/>
      <c r="Q713" s="65"/>
      <c r="R713" s="16"/>
    </row>
    <row r="714" spans="1:18" s="53" customFormat="1" hidden="1" x14ac:dyDescent="0.2">
      <c r="A714" s="1575"/>
      <c r="B714" s="1543"/>
      <c r="C714" s="1544"/>
      <c r="D714" s="1537"/>
      <c r="E714" s="1555"/>
      <c r="F714" s="1852"/>
      <c r="G714" s="2242"/>
      <c r="H714" s="1598"/>
      <c r="I714" s="2341"/>
      <c r="J714" s="2348"/>
      <c r="K714" s="1533"/>
      <c r="L714" s="1576"/>
      <c r="M714" s="73"/>
      <c r="N714" s="65"/>
      <c r="O714" s="20"/>
      <c r="P714" s="65"/>
      <c r="Q714" s="20"/>
      <c r="R714" s="16"/>
    </row>
    <row r="715" spans="1:18" s="53" customFormat="1" x14ac:dyDescent="0.2">
      <c r="A715" s="1564" t="s">
        <v>332</v>
      </c>
      <c r="B715" s="1538" t="s">
        <v>331</v>
      </c>
      <c r="C715" s="1538"/>
      <c r="D715" s="1525">
        <f>SUM(D716:D717)</f>
        <v>1450</v>
      </c>
      <c r="E715" s="1549">
        <f t="shared" ref="E715:L715" si="78">E716+E717</f>
        <v>0</v>
      </c>
      <c r="F715" s="2281">
        <f t="shared" si="78"/>
        <v>0</v>
      </c>
      <c r="G715" s="2234">
        <f t="shared" si="78"/>
        <v>0</v>
      </c>
      <c r="H715" s="1596">
        <f t="shared" si="78"/>
        <v>0</v>
      </c>
      <c r="I715" s="2336">
        <f>I716+I717</f>
        <v>0</v>
      </c>
      <c r="J715" s="2346">
        <f>J716+J717</f>
        <v>30000</v>
      </c>
      <c r="K715" s="1529">
        <f t="shared" si="78"/>
        <v>0</v>
      </c>
      <c r="L715" s="1560">
        <f t="shared" si="78"/>
        <v>0</v>
      </c>
      <c r="M715" s="73"/>
      <c r="N715" s="65"/>
      <c r="O715" s="20"/>
      <c r="P715" s="65"/>
      <c r="Q715" s="20"/>
      <c r="R715" s="16"/>
    </row>
    <row r="716" spans="1:18" s="53" customFormat="1" x14ac:dyDescent="0.2">
      <c r="A716" s="1580">
        <v>716</v>
      </c>
      <c r="B716" s="1900"/>
      <c r="C716" s="1648" t="s">
        <v>618</v>
      </c>
      <c r="D716" s="2284">
        <v>1450</v>
      </c>
      <c r="E716" s="1902"/>
      <c r="F716" s="2247"/>
      <c r="G716" s="2283">
        <v>0</v>
      </c>
      <c r="H716" s="3004"/>
      <c r="I716" s="3102"/>
      <c r="J716" s="2322"/>
      <c r="K716" s="2105"/>
      <c r="L716" s="1903"/>
      <c r="M716" s="73"/>
      <c r="N716" s="65"/>
      <c r="O716" s="20"/>
      <c r="P716" s="65"/>
      <c r="Q716" s="20"/>
      <c r="R716" s="16"/>
    </row>
    <row r="717" spans="1:18" s="53" customFormat="1" x14ac:dyDescent="0.2">
      <c r="A717" s="1580">
        <v>717</v>
      </c>
      <c r="B717" s="1900"/>
      <c r="C717" s="1648" t="s">
        <v>795</v>
      </c>
      <c r="D717" s="1902"/>
      <c r="E717" s="1902"/>
      <c r="F717" s="2247"/>
      <c r="G717" s="2283">
        <v>0</v>
      </c>
      <c r="H717" s="3004"/>
      <c r="I717" s="3102"/>
      <c r="J717" s="2322">
        <v>30000</v>
      </c>
      <c r="K717" s="2105"/>
      <c r="L717" s="1903"/>
      <c r="M717" s="73"/>
      <c r="N717" s="65"/>
      <c r="O717" s="20"/>
      <c r="P717" s="65"/>
      <c r="Q717" s="20"/>
      <c r="R717" s="16"/>
    </row>
    <row r="718" spans="1:18" s="53" customFormat="1" x14ac:dyDescent="0.2">
      <c r="A718" s="1559" t="s">
        <v>339</v>
      </c>
      <c r="B718" s="1538" t="s">
        <v>779</v>
      </c>
      <c r="C718" s="1538"/>
      <c r="D718" s="1525">
        <f>SUM(D719:D721)</f>
        <v>18250</v>
      </c>
      <c r="E718" s="1549">
        <f>E719+E720+E721</f>
        <v>19224</v>
      </c>
      <c r="F718" s="2281">
        <v>0</v>
      </c>
      <c r="G718" s="2234">
        <f>G719+G720+G721+G723</f>
        <v>800000</v>
      </c>
      <c r="H718" s="1596">
        <f>SUM(H719:H733)</f>
        <v>871194</v>
      </c>
      <c r="I718" s="2336">
        <f>SUM(I719:I733)</f>
        <v>854930.28</v>
      </c>
      <c r="J718" s="2349">
        <f>SUM(J719:J733)</f>
        <v>0</v>
      </c>
      <c r="K718" s="1529">
        <f>SUM(K719:K733)</f>
        <v>0</v>
      </c>
      <c r="L718" s="1560">
        <f>SUM(L719:L733)</f>
        <v>0</v>
      </c>
      <c r="M718" s="73"/>
      <c r="N718" s="65"/>
      <c r="O718" s="20"/>
      <c r="P718" s="65"/>
      <c r="Q718" s="20"/>
      <c r="R718" s="16"/>
    </row>
    <row r="719" spans="1:18" s="53" customFormat="1" x14ac:dyDescent="0.2">
      <c r="A719" s="1580">
        <v>716</v>
      </c>
      <c r="B719" s="1900"/>
      <c r="C719" s="1648" t="s">
        <v>618</v>
      </c>
      <c r="D719" s="2284">
        <v>18250</v>
      </c>
      <c r="E719" s="2284">
        <v>19224</v>
      </c>
      <c r="F719" s="1638"/>
      <c r="G719" s="2283">
        <v>0</v>
      </c>
      <c r="H719" s="3019"/>
      <c r="I719" s="3053"/>
      <c r="J719" s="2322"/>
      <c r="K719" s="2106"/>
      <c r="L719" s="2108"/>
      <c r="M719" s="73"/>
      <c r="N719" s="65"/>
      <c r="O719" s="20"/>
      <c r="P719" s="65"/>
      <c r="Q719" s="20"/>
      <c r="R719" s="16"/>
    </row>
    <row r="720" spans="1:18" s="53" customFormat="1" x14ac:dyDescent="0.2">
      <c r="A720" s="1580"/>
      <c r="B720" s="1900"/>
      <c r="C720" s="1648" t="s">
        <v>311</v>
      </c>
      <c r="D720" s="1902"/>
      <c r="E720" s="1902"/>
      <c r="F720" s="2279">
        <v>0</v>
      </c>
      <c r="G720" s="2283">
        <v>0</v>
      </c>
      <c r="H720" s="3018">
        <v>0</v>
      </c>
      <c r="I720" s="3103">
        <v>0</v>
      </c>
      <c r="J720" s="2322">
        <v>0</v>
      </c>
      <c r="K720" s="2106">
        <v>0</v>
      </c>
      <c r="L720" s="2108">
        <v>0</v>
      </c>
      <c r="M720" s="73"/>
      <c r="N720" s="65"/>
      <c r="O720" s="20"/>
      <c r="P720" s="65"/>
      <c r="Q720" s="20"/>
      <c r="R720" s="16"/>
    </row>
    <row r="721" spans="1:18" s="53" customFormat="1" x14ac:dyDescent="0.2">
      <c r="A721" s="1580"/>
      <c r="B721" s="1900"/>
      <c r="C721" s="1648" t="s">
        <v>796</v>
      </c>
      <c r="D721" s="1901"/>
      <c r="E721" s="1901"/>
      <c r="F721" s="2279">
        <v>0</v>
      </c>
      <c r="G721" s="2283">
        <v>0</v>
      </c>
      <c r="H721" s="3018">
        <v>0</v>
      </c>
      <c r="I721" s="3103">
        <v>0</v>
      </c>
      <c r="J721" s="2322">
        <v>0</v>
      </c>
      <c r="K721" s="2106">
        <v>0</v>
      </c>
      <c r="L721" s="2109">
        <v>0</v>
      </c>
      <c r="M721" s="73"/>
      <c r="N721" s="65"/>
      <c r="O721" s="20"/>
      <c r="P721" s="65"/>
      <c r="Q721" s="20"/>
      <c r="R721" s="16"/>
    </row>
    <row r="722" spans="1:18" s="53" customFormat="1" x14ac:dyDescent="0.2">
      <c r="A722" s="1580">
        <v>717</v>
      </c>
      <c r="B722" s="1900"/>
      <c r="C722" s="1648" t="s">
        <v>883</v>
      </c>
      <c r="D722" s="1901"/>
      <c r="E722" s="1901"/>
      <c r="F722" s="2279"/>
      <c r="G722" s="2283"/>
      <c r="H722" s="3018">
        <v>602194</v>
      </c>
      <c r="I722" s="3103">
        <v>557605.28</v>
      </c>
      <c r="J722" s="2322">
        <v>0</v>
      </c>
      <c r="K722" s="2106"/>
      <c r="L722" s="2109"/>
      <c r="M722" s="73"/>
      <c r="N722" s="65"/>
      <c r="O722" s="20"/>
      <c r="P722" s="65"/>
      <c r="Q722" s="20"/>
      <c r="R722" s="16"/>
    </row>
    <row r="723" spans="1:18" s="53" customFormat="1" x14ac:dyDescent="0.2">
      <c r="A723" s="1580"/>
      <c r="B723" s="1900"/>
      <c r="C723" s="1648" t="s">
        <v>884</v>
      </c>
      <c r="D723" s="1901"/>
      <c r="E723" s="1902"/>
      <c r="F723" s="2279">
        <v>0</v>
      </c>
      <c r="G723" s="2283">
        <v>800000</v>
      </c>
      <c r="H723" s="3018">
        <v>32000</v>
      </c>
      <c r="I723" s="3103">
        <v>35000</v>
      </c>
      <c r="J723" s="2322">
        <v>0</v>
      </c>
      <c r="K723" s="2107">
        <v>0</v>
      </c>
      <c r="L723" s="2110">
        <v>0</v>
      </c>
      <c r="M723" s="73"/>
      <c r="N723" s="65"/>
      <c r="O723" s="20"/>
      <c r="P723" s="65"/>
      <c r="Q723" s="20"/>
      <c r="R723" s="16"/>
    </row>
    <row r="724" spans="1:18" s="53" customFormat="1" x14ac:dyDescent="0.2">
      <c r="A724" s="1580"/>
      <c r="B724" s="1900"/>
      <c r="C724" s="1648" t="s">
        <v>890</v>
      </c>
      <c r="D724" s="1901"/>
      <c r="E724" s="1902"/>
      <c r="F724" s="2279"/>
      <c r="G724" s="2283"/>
      <c r="H724" s="3018">
        <v>165000</v>
      </c>
      <c r="I724" s="3103">
        <v>150000</v>
      </c>
      <c r="J724" s="2322">
        <v>0</v>
      </c>
      <c r="K724" s="2107"/>
      <c r="L724" s="2110"/>
      <c r="M724" s="73"/>
      <c r="N724" s="65"/>
      <c r="O724" s="20"/>
      <c r="P724" s="65"/>
      <c r="Q724" s="20"/>
      <c r="R724" s="16"/>
    </row>
    <row r="725" spans="1:18" s="53" customFormat="1" x14ac:dyDescent="0.2">
      <c r="A725" s="1580"/>
      <c r="B725" s="1900"/>
      <c r="C725" s="1648" t="s">
        <v>889</v>
      </c>
      <c r="D725" s="1901"/>
      <c r="E725" s="1901"/>
      <c r="F725" s="2279"/>
      <c r="G725" s="2283"/>
      <c r="H725" s="3018">
        <v>72000</v>
      </c>
      <c r="I725" s="3103">
        <v>112325</v>
      </c>
      <c r="J725" s="2322">
        <v>0</v>
      </c>
      <c r="K725" s="2106"/>
      <c r="L725" s="2109"/>
      <c r="M725" s="73"/>
      <c r="N725" s="65"/>
      <c r="O725" s="20"/>
      <c r="P725" s="65"/>
      <c r="Q725" s="20"/>
      <c r="R725" s="16"/>
    </row>
    <row r="726" spans="1:18" s="53" customFormat="1" x14ac:dyDescent="0.2">
      <c r="A726" s="1559" t="s">
        <v>865</v>
      </c>
      <c r="B726" s="1538" t="s">
        <v>345</v>
      </c>
      <c r="C726" s="1538"/>
      <c r="D726" s="1525">
        <f>SUM(D727:D729)</f>
        <v>0</v>
      </c>
      <c r="E726" s="1549">
        <v>0</v>
      </c>
      <c r="F726" s="2281">
        <f>F727+F729</f>
        <v>17229</v>
      </c>
      <c r="G726" s="2234">
        <f>G727+G729</f>
        <v>0</v>
      </c>
      <c r="H726" s="1596">
        <f>SUM(H727:H732)</f>
        <v>0</v>
      </c>
      <c r="I726" s="2336">
        <f>SUM(I727:I732)</f>
        <v>0</v>
      </c>
      <c r="J726" s="2346">
        <f>SUM(J727:J732)</f>
        <v>0</v>
      </c>
      <c r="K726" s="1529">
        <f>SUM(K727:K732)</f>
        <v>0</v>
      </c>
      <c r="L726" s="1560">
        <f>SUM(L727:L732)</f>
        <v>0</v>
      </c>
      <c r="M726" s="73"/>
      <c r="N726" s="65"/>
      <c r="O726" s="20"/>
      <c r="P726" s="65"/>
      <c r="Q726" s="20"/>
      <c r="R726" s="16"/>
    </row>
    <row r="727" spans="1:18" s="53" customFormat="1" x14ac:dyDescent="0.2">
      <c r="A727" s="1580">
        <v>717</v>
      </c>
      <c r="B727" s="2158" t="s">
        <v>94</v>
      </c>
      <c r="C727" s="1648" t="s">
        <v>942</v>
      </c>
      <c r="D727" s="1901"/>
      <c r="E727" s="1902"/>
      <c r="F727" s="2279">
        <v>17229</v>
      </c>
      <c r="G727" s="2283">
        <v>0</v>
      </c>
      <c r="H727" s="3005"/>
      <c r="I727" s="3103"/>
      <c r="J727" s="2322"/>
      <c r="K727" s="2107"/>
      <c r="L727" s="2110"/>
      <c r="M727" s="73"/>
      <c r="N727" s="65"/>
      <c r="O727" s="20"/>
      <c r="P727" s="65"/>
      <c r="Q727" s="20"/>
      <c r="R727" s="16"/>
    </row>
    <row r="728" spans="1:18" s="53" customFormat="1" x14ac:dyDescent="0.2">
      <c r="A728" s="1580"/>
      <c r="B728" s="2158"/>
      <c r="C728" s="3153" t="s">
        <v>941</v>
      </c>
      <c r="D728" s="1901"/>
      <c r="E728" s="1902"/>
      <c r="F728" s="3154">
        <v>12460</v>
      </c>
      <c r="G728" s="2283"/>
      <c r="H728" s="3005"/>
      <c r="I728" s="3103"/>
      <c r="J728" s="2322"/>
      <c r="K728" s="2107"/>
      <c r="L728" s="2110"/>
      <c r="M728" s="73"/>
      <c r="N728" s="65"/>
      <c r="O728" s="20"/>
      <c r="P728" s="65"/>
      <c r="Q728" s="20"/>
      <c r="R728" s="16"/>
    </row>
    <row r="729" spans="1:18" s="53" customFormat="1" x14ac:dyDescent="0.2">
      <c r="A729" s="1580"/>
      <c r="B729" s="1900"/>
      <c r="C729" s="1648"/>
      <c r="D729" s="1901"/>
      <c r="E729" s="1902"/>
      <c r="F729" s="2279"/>
      <c r="G729" s="2157"/>
      <c r="H729" s="3005"/>
      <c r="I729" s="3103"/>
      <c r="J729" s="2322"/>
      <c r="K729" s="2107"/>
      <c r="L729" s="2110"/>
      <c r="M729" s="73"/>
      <c r="N729" s="65"/>
      <c r="O729" s="20"/>
      <c r="P729" s="65"/>
      <c r="Q729" s="20"/>
      <c r="R729" s="16"/>
    </row>
    <row r="730" spans="1:18" s="139" customFormat="1" ht="11.25" x14ac:dyDescent="0.2">
      <c r="A730" s="1559" t="s">
        <v>569</v>
      </c>
      <c r="B730" s="1538"/>
      <c r="C730" s="1538"/>
      <c r="D730" s="1525">
        <f>D733</f>
        <v>350</v>
      </c>
      <c r="E730" s="1549">
        <f>SUM(E733)+E732</f>
        <v>6405</v>
      </c>
      <c r="F730" s="2281">
        <v>0</v>
      </c>
      <c r="G730" s="2234">
        <f>SUM(G733)+G732</f>
        <v>0</v>
      </c>
      <c r="H730" s="1596">
        <v>0</v>
      </c>
      <c r="I730" s="2336">
        <v>0</v>
      </c>
      <c r="J730" s="2346">
        <v>0</v>
      </c>
      <c r="K730" s="1529">
        <v>0</v>
      </c>
      <c r="L730" s="1560">
        <v>0</v>
      </c>
      <c r="M730" s="74"/>
      <c r="N730" s="595"/>
      <c r="O730" s="595"/>
      <c r="P730" s="595"/>
      <c r="Q730" s="595"/>
    </row>
    <row r="731" spans="1:18" s="139" customFormat="1" ht="11.25" x14ac:dyDescent="0.2">
      <c r="A731" s="1580">
        <v>717</v>
      </c>
      <c r="B731" s="1548" t="s">
        <v>94</v>
      </c>
      <c r="C731" s="1548" t="s">
        <v>706</v>
      </c>
      <c r="D731" s="1557"/>
      <c r="E731" s="1557"/>
      <c r="F731" s="1528"/>
      <c r="G731" s="2243">
        <v>0</v>
      </c>
      <c r="H731" s="3006"/>
      <c r="I731" s="3104"/>
      <c r="J731" s="2322"/>
      <c r="K731" s="2098"/>
      <c r="L731" s="1581"/>
      <c r="M731" s="74"/>
      <c r="N731" s="595"/>
      <c r="O731" s="595"/>
      <c r="P731" s="595"/>
      <c r="Q731" s="595"/>
    </row>
    <row r="732" spans="1:18" s="139" customFormat="1" ht="11.25" x14ac:dyDescent="0.2">
      <c r="A732" s="1580">
        <v>717</v>
      </c>
      <c r="B732" s="1548" t="s">
        <v>94</v>
      </c>
      <c r="C732" s="1548" t="s">
        <v>837</v>
      </c>
      <c r="D732" s="1557"/>
      <c r="E732" s="1557">
        <v>6405</v>
      </c>
      <c r="F732" s="1528"/>
      <c r="G732" s="2243">
        <v>0</v>
      </c>
      <c r="H732" s="3006"/>
      <c r="I732" s="3104"/>
      <c r="J732" s="2322"/>
      <c r="K732" s="2098"/>
      <c r="L732" s="1581"/>
      <c r="M732" s="74"/>
      <c r="N732" s="595"/>
      <c r="O732" s="595"/>
      <c r="P732" s="595"/>
      <c r="Q732" s="595"/>
    </row>
    <row r="733" spans="1:18" x14ac:dyDescent="0.2">
      <c r="A733" s="1567">
        <v>716</v>
      </c>
      <c r="B733" s="1453"/>
      <c r="C733" s="1453" t="s">
        <v>618</v>
      </c>
      <c r="D733" s="1522">
        <v>350</v>
      </c>
      <c r="E733" s="1522"/>
      <c r="F733" s="1433"/>
      <c r="G733" s="2233">
        <v>0</v>
      </c>
      <c r="H733" s="2905"/>
      <c r="I733" s="3095"/>
      <c r="J733" s="2322"/>
      <c r="K733" s="2100"/>
      <c r="L733" s="1563"/>
      <c r="M733" s="581"/>
      <c r="N733" s="60"/>
      <c r="O733" s="65"/>
      <c r="P733" s="65"/>
    </row>
    <row r="734" spans="1:18" hidden="1" x14ac:dyDescent="0.2">
      <c r="A734" s="1567"/>
      <c r="B734" s="1453"/>
      <c r="C734" s="1453"/>
      <c r="D734" s="1521"/>
      <c r="E734" s="1523"/>
      <c r="F734" s="2168"/>
      <c r="G734" s="2236"/>
      <c r="H734" s="1558"/>
      <c r="I734" s="2338"/>
      <c r="J734" s="2322"/>
      <c r="K734" s="1531"/>
      <c r="L734" s="1568"/>
      <c r="M734" s="581"/>
      <c r="N734" s="60"/>
      <c r="O734" s="65"/>
      <c r="P734" s="65"/>
    </row>
    <row r="735" spans="1:18" s="139" customFormat="1" ht="11.25" x14ac:dyDescent="0.2">
      <c r="A735" s="1559" t="s">
        <v>584</v>
      </c>
      <c r="B735" s="1538"/>
      <c r="C735" s="1538"/>
      <c r="D735" s="1525">
        <f>D736+D738+D739</f>
        <v>166000</v>
      </c>
      <c r="E735" s="1549">
        <f>E736+E738+E739+E743</f>
        <v>181795</v>
      </c>
      <c r="F735" s="2281">
        <f>F736+F739+F742+F743</f>
        <v>351658</v>
      </c>
      <c r="G735" s="2234">
        <f>G736+G738+G739+G742</f>
        <v>0</v>
      </c>
      <c r="H735" s="1596">
        <f>H736+H739+H742</f>
        <v>0</v>
      </c>
      <c r="I735" s="2336">
        <f>I736+I739+I742</f>
        <v>0</v>
      </c>
      <c r="J735" s="2346">
        <f>J736+J739+J742</f>
        <v>0</v>
      </c>
      <c r="K735" s="1529">
        <f>SUM(K736:K742)</f>
        <v>0</v>
      </c>
      <c r="L735" s="1560">
        <f>L736</f>
        <v>0</v>
      </c>
      <c r="M735" s="658"/>
      <c r="N735" s="658"/>
      <c r="O735" s="658"/>
      <c r="P735" s="658"/>
      <c r="Q735" s="659"/>
    </row>
    <row r="736" spans="1:18" x14ac:dyDescent="0.2">
      <c r="A736" s="1567">
        <v>717</v>
      </c>
      <c r="B736" s="1453" t="s">
        <v>97</v>
      </c>
      <c r="C736" s="1453" t="s">
        <v>329</v>
      </c>
      <c r="D736" s="1522">
        <v>0</v>
      </c>
      <c r="E736" s="1522">
        <v>0</v>
      </c>
      <c r="F736" s="1433">
        <v>0</v>
      </c>
      <c r="G736" s="2233">
        <v>0</v>
      </c>
      <c r="H736" s="2905">
        <v>0</v>
      </c>
      <c r="I736" s="3095">
        <v>0</v>
      </c>
      <c r="J736" s="2322">
        <v>0</v>
      </c>
      <c r="K736" s="2104">
        <v>0</v>
      </c>
      <c r="L736" s="2115">
        <v>0</v>
      </c>
      <c r="M736" s="581"/>
      <c r="N736" s="60"/>
      <c r="O736" s="65"/>
      <c r="P736" s="65"/>
      <c r="Q736" s="65"/>
    </row>
    <row r="737" spans="1:18" hidden="1" x14ac:dyDescent="0.2">
      <c r="A737" s="1567"/>
      <c r="B737" s="1453"/>
      <c r="C737" s="1453"/>
      <c r="D737" s="1523"/>
      <c r="E737" s="1523"/>
      <c r="F737" s="2168"/>
      <c r="G737" s="2236"/>
      <c r="H737" s="2999"/>
      <c r="I737" s="3099"/>
      <c r="J737" s="2322"/>
      <c r="K737" s="2104"/>
      <c r="L737" s="2116"/>
      <c r="M737" s="581"/>
      <c r="N737" s="60"/>
      <c r="P737" s="65"/>
    </row>
    <row r="738" spans="1:18" x14ac:dyDescent="0.2">
      <c r="A738" s="1567">
        <v>717</v>
      </c>
      <c r="B738" s="1453" t="s">
        <v>94</v>
      </c>
      <c r="C738" s="1453" t="s">
        <v>712</v>
      </c>
      <c r="D738" s="1522">
        <v>2000</v>
      </c>
      <c r="E738" s="1522"/>
      <c r="F738" s="2168"/>
      <c r="G738" s="2233">
        <v>0</v>
      </c>
      <c r="H738" s="2999"/>
      <c r="I738" s="3099"/>
      <c r="J738" s="2322"/>
      <c r="K738" s="2104"/>
      <c r="L738" s="2116"/>
      <c r="M738" s="581"/>
      <c r="N738" s="60"/>
      <c r="P738" s="65"/>
    </row>
    <row r="739" spans="1:18" x14ac:dyDescent="0.2">
      <c r="A739" s="1567">
        <v>717</v>
      </c>
      <c r="B739" s="1453" t="s">
        <v>94</v>
      </c>
      <c r="C739" s="1453" t="s">
        <v>622</v>
      </c>
      <c r="D739" s="1522">
        <v>164000</v>
      </c>
      <c r="E739" s="1522">
        <v>181795</v>
      </c>
      <c r="F739" s="1433"/>
      <c r="G739" s="2233">
        <v>0</v>
      </c>
      <c r="H739" s="2905"/>
      <c r="I739" s="3095"/>
      <c r="J739" s="2322"/>
      <c r="K739" s="2104"/>
      <c r="L739" s="2115"/>
      <c r="M739" s="581"/>
      <c r="N739" s="60"/>
      <c r="P739" s="65"/>
    </row>
    <row r="740" spans="1:18" x14ac:dyDescent="0.2">
      <c r="A740" s="1567"/>
      <c r="B740" s="1453"/>
      <c r="C740" s="1453" t="s">
        <v>838</v>
      </c>
      <c r="D740" s="1522"/>
      <c r="E740" s="1522"/>
      <c r="F740" s="3155">
        <v>284526</v>
      </c>
      <c r="G740" s="2285">
        <v>0</v>
      </c>
      <c r="H740" s="2905"/>
      <c r="I740" s="3095"/>
      <c r="J740" s="2322"/>
      <c r="K740" s="2104"/>
      <c r="L740" s="2115"/>
      <c r="M740" s="581"/>
      <c r="N740" s="60"/>
      <c r="P740" s="65"/>
    </row>
    <row r="741" spans="1:18" x14ac:dyDescent="0.2">
      <c r="A741" s="1567"/>
      <c r="B741" s="1453"/>
      <c r="C741" s="1453" t="s">
        <v>866</v>
      </c>
      <c r="D741" s="1522"/>
      <c r="E741" s="1522"/>
      <c r="F741" s="1433"/>
      <c r="G741" s="2285">
        <v>0</v>
      </c>
      <c r="H741" s="2905"/>
      <c r="I741" s="3095"/>
      <c r="J741" s="2322"/>
      <c r="K741" s="2104"/>
      <c r="L741" s="2115"/>
      <c r="M741" s="581"/>
      <c r="N741" s="60"/>
      <c r="P741" s="65"/>
    </row>
    <row r="742" spans="1:18" x14ac:dyDescent="0.2">
      <c r="A742" s="1567">
        <v>717</v>
      </c>
      <c r="B742" s="1453" t="s">
        <v>94</v>
      </c>
      <c r="C742" s="1453" t="s">
        <v>798</v>
      </c>
      <c r="D742" s="1523"/>
      <c r="E742" s="1523"/>
      <c r="F742" s="1433">
        <v>349669</v>
      </c>
      <c r="G742" s="2233">
        <v>0</v>
      </c>
      <c r="H742" s="2905">
        <v>0</v>
      </c>
      <c r="I742" s="3095">
        <v>0</v>
      </c>
      <c r="J742" s="2322">
        <v>0</v>
      </c>
      <c r="K742" s="2104"/>
      <c r="L742" s="2116"/>
      <c r="M742" s="581"/>
      <c r="N742" s="60"/>
      <c r="P742" s="65"/>
    </row>
    <row r="743" spans="1:18" x14ac:dyDescent="0.2">
      <c r="A743" s="1567">
        <v>713</v>
      </c>
      <c r="B743" s="1453" t="s">
        <v>111</v>
      </c>
      <c r="C743" s="1453" t="s">
        <v>954</v>
      </c>
      <c r="D743" s="1523"/>
      <c r="E743" s="1522"/>
      <c r="F743" s="1433">
        <v>1989</v>
      </c>
      <c r="G743" s="2233"/>
      <c r="H743" s="2905"/>
      <c r="I743" s="3095"/>
      <c r="J743" s="2322"/>
      <c r="K743" s="2104"/>
      <c r="L743" s="2116"/>
      <c r="M743" s="581"/>
      <c r="N743" s="60"/>
      <c r="P743" s="65"/>
    </row>
    <row r="744" spans="1:18" s="656" customFormat="1" ht="11.25" x14ac:dyDescent="0.2">
      <c r="A744" s="1559" t="s">
        <v>589</v>
      </c>
      <c r="B744" s="1538"/>
      <c r="C744" s="1538"/>
      <c r="D744" s="1525">
        <f t="shared" ref="D744:I744" si="79">D746+D748</f>
        <v>0</v>
      </c>
      <c r="E744" s="1549">
        <f t="shared" si="79"/>
        <v>16810</v>
      </c>
      <c r="F744" s="2281">
        <f t="shared" si="79"/>
        <v>11759</v>
      </c>
      <c r="G744" s="2234">
        <f t="shared" si="79"/>
        <v>0</v>
      </c>
      <c r="H744" s="1596">
        <f t="shared" si="79"/>
        <v>0</v>
      </c>
      <c r="I744" s="2336">
        <f t="shared" si="79"/>
        <v>0</v>
      </c>
      <c r="J744" s="2346">
        <f>J746+J748+J745</f>
        <v>20000</v>
      </c>
      <c r="K744" s="1529">
        <f>SUM(K745:K749)</f>
        <v>0</v>
      </c>
      <c r="L744" s="1560">
        <f>SUM(L745:L749)</f>
        <v>0</v>
      </c>
      <c r="M744" s="658"/>
      <c r="N744" s="658"/>
      <c r="O744" s="658"/>
      <c r="P744" s="658"/>
      <c r="Q744" s="658"/>
      <c r="R744" s="139"/>
    </row>
    <row r="745" spans="1:18" s="53" customFormat="1" x14ac:dyDescent="0.2">
      <c r="A745" s="1567">
        <v>716</v>
      </c>
      <c r="B745" s="1545"/>
      <c r="C745" s="1453" t="s">
        <v>621</v>
      </c>
      <c r="D745" s="1522">
        <v>0</v>
      </c>
      <c r="E745" s="1522"/>
      <c r="F745" s="1433"/>
      <c r="G745" s="2233">
        <v>0</v>
      </c>
      <c r="H745" s="2905"/>
      <c r="I745" s="3095"/>
      <c r="J745" s="2322">
        <v>20000</v>
      </c>
      <c r="K745" s="2100"/>
      <c r="L745" s="1563"/>
      <c r="M745" s="660"/>
      <c r="N745" s="20"/>
      <c r="O745" s="65"/>
      <c r="P745" s="65"/>
      <c r="Q745" s="65"/>
      <c r="R745" s="16"/>
    </row>
    <row r="746" spans="1:18" x14ac:dyDescent="0.2">
      <c r="A746" s="1567">
        <v>717</v>
      </c>
      <c r="B746" s="1453" t="s">
        <v>94</v>
      </c>
      <c r="C746" s="1453" t="s">
        <v>867</v>
      </c>
      <c r="D746" s="1522">
        <v>0</v>
      </c>
      <c r="E746" s="1522">
        <v>16810</v>
      </c>
      <c r="F746" s="1433">
        <v>11759</v>
      </c>
      <c r="G746" s="2233">
        <v>0</v>
      </c>
      <c r="H746" s="2905">
        <v>0</v>
      </c>
      <c r="I746" s="3095">
        <v>0</v>
      </c>
      <c r="J746" s="2322">
        <v>0</v>
      </c>
      <c r="K746" s="2100"/>
      <c r="L746" s="1563"/>
      <c r="M746" s="661"/>
      <c r="N746" s="60"/>
      <c r="O746" s="65"/>
      <c r="P746" s="65"/>
      <c r="Q746" s="65"/>
    </row>
    <row r="747" spans="1:18" x14ac:dyDescent="0.2">
      <c r="A747" s="1567"/>
      <c r="B747" s="1453"/>
      <c r="C747" s="2049" t="s">
        <v>838</v>
      </c>
      <c r="D747" s="2111"/>
      <c r="E747" s="2111">
        <v>10000</v>
      </c>
      <c r="F747" s="2280">
        <v>8000</v>
      </c>
      <c r="G747" s="2286">
        <v>0</v>
      </c>
      <c r="H747" s="3007">
        <v>0</v>
      </c>
      <c r="I747" s="3105">
        <v>0</v>
      </c>
      <c r="J747" s="2322">
        <v>0</v>
      </c>
      <c r="K747" s="2100"/>
      <c r="L747" s="2112"/>
      <c r="M747" s="661"/>
      <c r="N747" s="60"/>
      <c r="O747" s="65"/>
      <c r="P747" s="65"/>
      <c r="Q747" s="65"/>
    </row>
    <row r="748" spans="1:18" x14ac:dyDescent="0.2">
      <c r="A748" s="1567">
        <v>717</v>
      </c>
      <c r="B748" s="1453" t="s">
        <v>97</v>
      </c>
      <c r="C748" s="1453" t="s">
        <v>623</v>
      </c>
      <c r="D748" s="1522">
        <v>0</v>
      </c>
      <c r="E748" s="1522"/>
      <c r="F748" s="1433"/>
      <c r="G748" s="2233"/>
      <c r="H748" s="2905"/>
      <c r="I748" s="3095"/>
      <c r="J748" s="2322"/>
      <c r="K748" s="2100"/>
      <c r="L748" s="1563"/>
      <c r="M748" s="661"/>
      <c r="N748" s="60"/>
      <c r="O748" s="65"/>
      <c r="P748" s="65"/>
      <c r="Q748" s="65"/>
    </row>
    <row r="749" spans="1:18" hidden="1" x14ac:dyDescent="0.2">
      <c r="A749" s="1577"/>
      <c r="B749" s="1546"/>
      <c r="C749" s="1546"/>
      <c r="D749" s="1418"/>
      <c r="E749" s="1522"/>
      <c r="F749" s="1433"/>
      <c r="G749" s="2233"/>
      <c r="H749" s="1428"/>
      <c r="I749" s="2337"/>
      <c r="J749" s="2322"/>
      <c r="K749" s="1524"/>
      <c r="L749" s="1563"/>
      <c r="M749" s="661"/>
      <c r="N749" s="60"/>
      <c r="O749" s="65"/>
      <c r="P749" s="65"/>
      <c r="Q749" s="65"/>
    </row>
    <row r="750" spans="1:18" hidden="1" x14ac:dyDescent="0.2">
      <c r="A750" s="1567"/>
      <c r="B750" s="1453"/>
      <c r="C750" s="1453"/>
      <c r="D750" s="1418"/>
      <c r="E750" s="1522"/>
      <c r="F750" s="1433"/>
      <c r="G750" s="2233"/>
      <c r="H750" s="1595"/>
      <c r="I750" s="2335"/>
      <c r="J750" s="2322"/>
      <c r="K750" s="1524"/>
      <c r="L750" s="1563"/>
      <c r="M750" s="661"/>
      <c r="N750" s="60"/>
      <c r="O750" s="65"/>
      <c r="P750" s="65"/>
      <c r="Q750" s="65"/>
    </row>
    <row r="751" spans="1:18" x14ac:dyDescent="0.2">
      <c r="A751" s="1559" t="s">
        <v>839</v>
      </c>
      <c r="B751" s="1538"/>
      <c r="C751" s="1538"/>
      <c r="D751" s="1525">
        <f>D753+D755</f>
        <v>0</v>
      </c>
      <c r="E751" s="1549">
        <f>E752</f>
        <v>6322</v>
      </c>
      <c r="F751" s="2281">
        <f>F753+F755</f>
        <v>0</v>
      </c>
      <c r="G751" s="2234">
        <f>G752</f>
        <v>0</v>
      </c>
      <c r="H751" s="1596">
        <f>H753+H755</f>
        <v>0</v>
      </c>
      <c r="I751" s="2336">
        <f>I752</f>
        <v>1934</v>
      </c>
      <c r="J751" s="2349">
        <f>J752</f>
        <v>0</v>
      </c>
      <c r="K751" s="1529">
        <f>SUM(K752:K756)</f>
        <v>0</v>
      </c>
      <c r="L751" s="1560">
        <f>SUM(L752:L756)</f>
        <v>0</v>
      </c>
      <c r="M751" s="661"/>
      <c r="N751" s="60"/>
      <c r="O751" s="65"/>
      <c r="P751" s="65"/>
      <c r="Q751" s="65"/>
    </row>
    <row r="752" spans="1:18" x14ac:dyDescent="0.2">
      <c r="A752" s="1567">
        <v>713</v>
      </c>
      <c r="B752" s="1453" t="s">
        <v>111</v>
      </c>
      <c r="C752" s="1453" t="s">
        <v>458</v>
      </c>
      <c r="D752" s="1522">
        <v>0</v>
      </c>
      <c r="E752" s="1522">
        <v>6322</v>
      </c>
      <c r="F752" s="1433">
        <v>0</v>
      </c>
      <c r="G752" s="2233">
        <v>0</v>
      </c>
      <c r="H752" s="2905">
        <v>0</v>
      </c>
      <c r="I752" s="3095">
        <v>1934</v>
      </c>
      <c r="J752" s="2322">
        <v>0</v>
      </c>
      <c r="K752" s="2104">
        <v>0</v>
      </c>
      <c r="L752" s="1563">
        <v>0</v>
      </c>
      <c r="M752" s="661"/>
      <c r="N752" s="60"/>
      <c r="O752" s="65"/>
      <c r="P752" s="65"/>
      <c r="Q752" s="65"/>
    </row>
    <row r="753" spans="1:18" s="596" customFormat="1" x14ac:dyDescent="0.2">
      <c r="A753" s="1578" t="s">
        <v>624</v>
      </c>
      <c r="B753" s="1547"/>
      <c r="C753" s="1547"/>
      <c r="D753" s="1527">
        <f>SUM(D754:D758)</f>
        <v>0</v>
      </c>
      <c r="E753" s="1556">
        <f>SUM(E754:E759)</f>
        <v>0</v>
      </c>
      <c r="F753" s="1527">
        <f>SUM(F754:F758)</f>
        <v>0</v>
      </c>
      <c r="G753" s="2244">
        <f>SUM(G754:G759)</f>
        <v>0</v>
      </c>
      <c r="H753" s="1599">
        <f>SUM(H754:H758)</f>
        <v>0</v>
      </c>
      <c r="I753" s="2342">
        <f>SUM(I754:I758)</f>
        <v>0</v>
      </c>
      <c r="J753" s="2347">
        <f>SUM(J754:J758)</f>
        <v>0</v>
      </c>
      <c r="K753" s="1534">
        <f>SUM(K754:K759)</f>
        <v>0</v>
      </c>
      <c r="L753" s="1579">
        <f>SUM(L754:L759)</f>
        <v>0</v>
      </c>
      <c r="M753" s="662"/>
      <c r="N753" s="663"/>
      <c r="O753" s="584"/>
      <c r="P753" s="584"/>
      <c r="Q753" s="584"/>
    </row>
    <row r="754" spans="1:18" s="596" customFormat="1" x14ac:dyDescent="0.2">
      <c r="A754" s="1580">
        <v>717</v>
      </c>
      <c r="B754" s="1548" t="s">
        <v>97</v>
      </c>
      <c r="C754" s="1548" t="s">
        <v>419</v>
      </c>
      <c r="D754" s="1557">
        <v>0</v>
      </c>
      <c r="E754" s="1557">
        <v>0</v>
      </c>
      <c r="F754" s="1528">
        <v>0</v>
      </c>
      <c r="G754" s="2243">
        <v>0</v>
      </c>
      <c r="H754" s="3006">
        <v>0</v>
      </c>
      <c r="I754" s="3104">
        <v>0</v>
      </c>
      <c r="J754" s="2322">
        <v>0</v>
      </c>
      <c r="K754" s="2113">
        <v>0</v>
      </c>
      <c r="L754" s="1581">
        <v>0</v>
      </c>
      <c r="M754" s="662"/>
      <c r="N754" s="663"/>
      <c r="O754" s="584"/>
      <c r="P754" s="584"/>
      <c r="Q754" s="584"/>
    </row>
    <row r="755" spans="1:18" s="596" customFormat="1" x14ac:dyDescent="0.2">
      <c r="A755" s="1580">
        <v>717</v>
      </c>
      <c r="B755" s="1548" t="s">
        <v>97</v>
      </c>
      <c r="C755" s="1548" t="s">
        <v>419</v>
      </c>
      <c r="D755" s="1557">
        <v>0</v>
      </c>
      <c r="E755" s="1557">
        <v>0</v>
      </c>
      <c r="F755" s="1528">
        <v>0</v>
      </c>
      <c r="G755" s="2243">
        <v>0</v>
      </c>
      <c r="H755" s="3006">
        <v>0</v>
      </c>
      <c r="I755" s="3104">
        <v>0</v>
      </c>
      <c r="J755" s="2322">
        <v>0</v>
      </c>
      <c r="K755" s="2113">
        <v>0</v>
      </c>
      <c r="L755" s="1581">
        <v>0</v>
      </c>
      <c r="M755" s="662"/>
      <c r="N755" s="663"/>
      <c r="O755" s="584"/>
      <c r="P755" s="584"/>
      <c r="Q755" s="584"/>
    </row>
    <row r="756" spans="1:18" s="596" customFormat="1" x14ac:dyDescent="0.2">
      <c r="A756" s="1580">
        <v>716</v>
      </c>
      <c r="B756" s="1548"/>
      <c r="C756" s="1548" t="s">
        <v>329</v>
      </c>
      <c r="D756" s="1557">
        <v>0</v>
      </c>
      <c r="E756" s="1557">
        <v>0</v>
      </c>
      <c r="F756" s="1528">
        <v>0</v>
      </c>
      <c r="G756" s="2243">
        <v>0</v>
      </c>
      <c r="H756" s="3006">
        <v>0</v>
      </c>
      <c r="I756" s="3104">
        <v>0</v>
      </c>
      <c r="J756" s="2322">
        <v>0</v>
      </c>
      <c r="K756" s="2113">
        <v>0</v>
      </c>
      <c r="L756" s="1581">
        <v>0</v>
      </c>
      <c r="M756" s="662"/>
      <c r="N756" s="663"/>
      <c r="O756" s="584"/>
      <c r="P756" s="584"/>
      <c r="Q756" s="584"/>
    </row>
    <row r="757" spans="1:18" s="596" customFormat="1" x14ac:dyDescent="0.2">
      <c r="A757" s="1580">
        <v>713</v>
      </c>
      <c r="B757" s="1548" t="s">
        <v>111</v>
      </c>
      <c r="C757" s="1548" t="s">
        <v>458</v>
      </c>
      <c r="D757" s="1557">
        <v>0</v>
      </c>
      <c r="E757" s="1557">
        <v>0</v>
      </c>
      <c r="F757" s="1528">
        <v>0</v>
      </c>
      <c r="G757" s="2243">
        <v>0</v>
      </c>
      <c r="H757" s="3006">
        <v>0</v>
      </c>
      <c r="I757" s="3104">
        <v>0</v>
      </c>
      <c r="J757" s="2322">
        <v>0</v>
      </c>
      <c r="K757" s="2113">
        <v>0</v>
      </c>
      <c r="L757" s="1581">
        <v>0</v>
      </c>
      <c r="M757" s="662"/>
      <c r="N757" s="663"/>
      <c r="O757" s="584"/>
      <c r="P757" s="584"/>
      <c r="Q757" s="584"/>
    </row>
    <row r="758" spans="1:18" ht="13.5" thickBot="1" x14ac:dyDescent="0.25">
      <c r="A758" s="1582">
        <v>719</v>
      </c>
      <c r="B758" s="1583" t="s">
        <v>111</v>
      </c>
      <c r="C758" s="1583" t="s">
        <v>672</v>
      </c>
      <c r="D758" s="1584">
        <v>0</v>
      </c>
      <c r="E758" s="1522">
        <v>0</v>
      </c>
      <c r="F758" s="1433">
        <v>0</v>
      </c>
      <c r="G758" s="2245">
        <v>0</v>
      </c>
      <c r="H758" s="3008">
        <v>0</v>
      </c>
      <c r="I758" s="3106">
        <v>0</v>
      </c>
      <c r="J758" s="2332">
        <v>0</v>
      </c>
      <c r="K758" s="2114">
        <v>0</v>
      </c>
      <c r="L758" s="1585">
        <v>0</v>
      </c>
      <c r="M758" s="661"/>
      <c r="N758" s="60"/>
      <c r="O758" s="65"/>
      <c r="P758" s="65"/>
      <c r="Q758" s="65"/>
    </row>
    <row r="759" spans="1:18" ht="13.5" hidden="1" thickBot="1" x14ac:dyDescent="0.25">
      <c r="A759" s="1099"/>
      <c r="B759" s="725"/>
      <c r="C759" s="1100"/>
      <c r="D759" s="1479"/>
      <c r="E759" s="1480"/>
      <c r="F759" s="1481"/>
      <c r="G759" s="1481"/>
      <c r="H759" s="1482"/>
      <c r="I759" s="1482"/>
      <c r="J759" s="2311"/>
      <c r="K759" s="1479"/>
      <c r="L759" s="1483"/>
      <c r="M759" s="661"/>
      <c r="N759" s="60"/>
      <c r="O759" s="65"/>
      <c r="P759" s="65"/>
      <c r="Q759" s="65"/>
    </row>
    <row r="760" spans="1:18" s="34" customFormat="1" ht="13.5" thickBot="1" x14ac:dyDescent="0.25">
      <c r="A760" s="141" t="s">
        <v>625</v>
      </c>
      <c r="B760" s="142"/>
      <c r="C760" s="735"/>
      <c r="D760" s="1484">
        <f>D666+D672+D684+D690+D693+D706+D730+D735+D744+D753+D751+D718+D715+D701+D679</f>
        <v>3657374</v>
      </c>
      <c r="E760" s="1485">
        <f>E666+E672+E686+E690+E693+E706+E730+E735+E744+E753+E701+E751+E718+E715+E684+E679</f>
        <v>6479648</v>
      </c>
      <c r="F760" s="1486">
        <f>F672+F693+F706+F753+F701+F735+F744+F751+F730+F718+F715+F679+F666+F726+F686</f>
        <v>3253234</v>
      </c>
      <c r="G760" s="1487">
        <f>G666+G672+G686+G690+G693+G706+G730+G735+G744+G753+G684+G701+G715+G718+G679+G751+G726</f>
        <v>815000</v>
      </c>
      <c r="H760" s="1488">
        <f>H666+H672+H686+H690+H693+H706+H730+H735+H744+H753+H701+H718+H715+H679</f>
        <v>901194</v>
      </c>
      <c r="I760" s="1818">
        <f>I666+I672+I686+I690+I693+I706+I730+I735+I744+I753+I701+I718+I715+I679+I751+I726</f>
        <v>887305.28</v>
      </c>
      <c r="J760" s="2333">
        <f>J666+J672+J686+J690+J693+J706+J730+J735+J744+J753+J701+J718+J715+J679+J751</f>
        <v>154268</v>
      </c>
      <c r="K760" s="1489">
        <f>K666+K672+K686+K690+K693+K706+K730+K735+K744+K753+K701+K718+K715+K679</f>
        <v>6000</v>
      </c>
      <c r="L760" s="1489">
        <f>L666+L672+L686+L690+L693+L706+L730+L735+L744+L753+L701+L718+L715+L679</f>
        <v>6000</v>
      </c>
      <c r="M760" s="664"/>
      <c r="N760" s="20"/>
      <c r="O760" s="530"/>
      <c r="P760" s="530"/>
      <c r="Q760" s="530"/>
      <c r="R760" s="144"/>
    </row>
    <row r="761" spans="1:18" s="34" customFormat="1" hidden="1" x14ac:dyDescent="0.2">
      <c r="A761" s="134"/>
      <c r="B761" s="20"/>
      <c r="C761" s="134"/>
      <c r="D761" s="74"/>
      <c r="E761" s="1899"/>
      <c r="F761" s="1899"/>
      <c r="G761" s="90"/>
      <c r="H761" s="90"/>
      <c r="I761" s="90"/>
      <c r="J761" s="2071"/>
      <c r="K761" s="90"/>
      <c r="L761" s="90"/>
      <c r="M761" s="664"/>
      <c r="N761" s="20"/>
      <c r="O761" s="530"/>
      <c r="P761" s="530"/>
      <c r="Q761" s="530"/>
      <c r="R761" s="144"/>
    </row>
    <row r="762" spans="1:18" s="34" customFormat="1" hidden="1" x14ac:dyDescent="0.2">
      <c r="A762" s="134"/>
      <c r="B762" s="20"/>
      <c r="C762" s="134"/>
      <c r="D762" s="74"/>
      <c r="E762" s="1899"/>
      <c r="F762" s="1899"/>
      <c r="G762" s="90"/>
      <c r="H762" s="90"/>
      <c r="I762" s="90"/>
      <c r="J762" s="2071"/>
      <c r="K762" s="90"/>
      <c r="L762" s="90"/>
      <c r="M762" s="664"/>
      <c r="N762" s="20"/>
      <c r="O762" s="530"/>
      <c r="P762" s="530"/>
      <c r="Q762" s="530"/>
      <c r="R762" s="144"/>
    </row>
    <row r="763" spans="1:18" s="34" customFormat="1" x14ac:dyDescent="0.2">
      <c r="A763" s="16"/>
      <c r="B763" s="16"/>
      <c r="C763" s="16"/>
      <c r="D763" s="16"/>
      <c r="E763" s="16"/>
      <c r="F763" s="16"/>
      <c r="G763" s="519"/>
      <c r="H763" s="519"/>
      <c r="I763" s="519"/>
      <c r="J763" s="3039"/>
      <c r="K763" s="519"/>
      <c r="L763" s="520"/>
      <c r="M763" s="65"/>
      <c r="N763" s="65"/>
      <c r="O763" s="20"/>
      <c r="P763" s="20"/>
      <c r="Q763" s="20"/>
      <c r="R763" s="16"/>
    </row>
    <row r="764" spans="1:18" s="34" customFormat="1" hidden="1" x14ac:dyDescent="0.2">
      <c r="A764" s="16"/>
      <c r="B764" s="16"/>
      <c r="C764" s="16"/>
      <c r="D764" s="16"/>
      <c r="E764" s="16"/>
      <c r="F764" s="16"/>
      <c r="G764" s="519"/>
      <c r="H764" s="519"/>
      <c r="I764" s="519"/>
      <c r="J764" s="3039"/>
      <c r="K764" s="519"/>
      <c r="L764" s="520"/>
      <c r="M764" s="65"/>
      <c r="N764" s="65"/>
      <c r="O764" s="20"/>
      <c r="P764" s="20"/>
      <c r="Q764" s="20"/>
      <c r="R764" s="16"/>
    </row>
    <row r="765" spans="1:18" s="34" customFormat="1" hidden="1" x14ac:dyDescent="0.2">
      <c r="A765" s="16"/>
      <c r="B765" s="16"/>
      <c r="C765" s="16"/>
      <c r="D765" s="16"/>
      <c r="E765" s="16"/>
      <c r="F765" s="16"/>
      <c r="G765" s="519"/>
      <c r="H765" s="519"/>
      <c r="I765" s="519"/>
      <c r="J765" s="3039"/>
      <c r="K765" s="519"/>
      <c r="L765" s="520"/>
      <c r="M765" s="65"/>
      <c r="N765" s="65"/>
      <c r="O765" s="20"/>
      <c r="P765" s="20"/>
      <c r="Q765" s="20"/>
      <c r="R765" s="16"/>
    </row>
    <row r="766" spans="1:18" s="34" customFormat="1" hidden="1" x14ac:dyDescent="0.2">
      <c r="A766" s="16"/>
      <c r="B766" s="16"/>
      <c r="C766" s="16"/>
      <c r="D766" s="16"/>
      <c r="E766" s="16"/>
      <c r="F766" s="16"/>
      <c r="G766" s="519"/>
      <c r="H766" s="519"/>
      <c r="I766" s="519"/>
      <c r="J766" s="3039"/>
      <c r="K766" s="519"/>
      <c r="L766" s="520"/>
      <c r="M766" s="65"/>
      <c r="N766" s="65"/>
      <c r="O766" s="20"/>
      <c r="P766" s="20"/>
      <c r="Q766" s="20"/>
      <c r="R766" s="16"/>
    </row>
    <row r="767" spans="1:18" s="34" customFormat="1" hidden="1" x14ac:dyDescent="0.2">
      <c r="A767" s="16"/>
      <c r="B767" s="16"/>
      <c r="C767" s="16"/>
      <c r="D767" s="16"/>
      <c r="E767" s="16"/>
      <c r="F767" s="16"/>
      <c r="G767" s="519"/>
      <c r="H767" s="519"/>
      <c r="I767" s="519"/>
      <c r="J767" s="3039"/>
      <c r="K767" s="519"/>
      <c r="L767" s="520"/>
      <c r="M767" s="65"/>
      <c r="N767" s="65"/>
      <c r="O767" s="20"/>
      <c r="P767" s="20"/>
      <c r="Q767" s="20"/>
      <c r="R767" s="16"/>
    </row>
    <row r="768" spans="1:18" s="34" customFormat="1" hidden="1" x14ac:dyDescent="0.2">
      <c r="A768" s="16"/>
      <c r="B768" s="16"/>
      <c r="C768" s="16"/>
      <c r="D768" s="16"/>
      <c r="E768" s="16"/>
      <c r="F768" s="16"/>
      <c r="G768" s="519"/>
      <c r="H768" s="519"/>
      <c r="I768" s="519"/>
      <c r="J768" s="3039"/>
      <c r="K768" s="519"/>
      <c r="L768" s="520"/>
      <c r="M768" s="65"/>
      <c r="N768" s="65"/>
      <c r="O768" s="20"/>
      <c r="P768" s="20"/>
      <c r="Q768" s="20"/>
      <c r="R768" s="16"/>
    </row>
    <row r="769" spans="1:18" s="34" customFormat="1" hidden="1" x14ac:dyDescent="0.2">
      <c r="A769" s="16"/>
      <c r="B769" s="16"/>
      <c r="C769" s="16"/>
      <c r="D769" s="16"/>
      <c r="E769" s="16"/>
      <c r="F769" s="16"/>
      <c r="G769" s="519"/>
      <c r="H769" s="519"/>
      <c r="I769" s="519"/>
      <c r="J769" s="3039"/>
      <c r="K769" s="519"/>
      <c r="L769" s="520"/>
      <c r="M769" s="65"/>
      <c r="N769" s="65"/>
      <c r="O769" s="20"/>
      <c r="P769" s="20"/>
      <c r="Q769" s="20"/>
      <c r="R769" s="16"/>
    </row>
    <row r="770" spans="1:18" s="34" customFormat="1" hidden="1" x14ac:dyDescent="0.2">
      <c r="A770" s="16"/>
      <c r="B770" s="16"/>
      <c r="C770" s="16"/>
      <c r="D770" s="16"/>
      <c r="E770" s="16"/>
      <c r="F770" s="16"/>
      <c r="G770" s="519"/>
      <c r="H770" s="519"/>
      <c r="I770" s="519"/>
      <c r="J770" s="3039"/>
      <c r="K770" s="519"/>
      <c r="L770" s="520"/>
      <c r="M770" s="65"/>
      <c r="N770" s="65"/>
      <c r="O770" s="20"/>
      <c r="P770" s="20"/>
      <c r="Q770" s="20"/>
      <c r="R770" s="16"/>
    </row>
    <row r="771" spans="1:18" s="34" customFormat="1" hidden="1" x14ac:dyDescent="0.2">
      <c r="A771" s="16"/>
      <c r="B771" s="16"/>
      <c r="C771" s="16"/>
      <c r="D771" s="16"/>
      <c r="E771" s="16"/>
      <c r="F771" s="16"/>
      <c r="G771" s="519"/>
      <c r="H771" s="519"/>
      <c r="I771" s="519"/>
      <c r="J771" s="3039"/>
      <c r="K771" s="519"/>
      <c r="L771" s="520"/>
      <c r="M771" s="65"/>
      <c r="N771" s="65"/>
      <c r="O771" s="20"/>
      <c r="P771" s="20"/>
      <c r="Q771" s="20"/>
      <c r="R771" s="16"/>
    </row>
    <row r="772" spans="1:18" s="34" customFormat="1" ht="13.5" thickBot="1" x14ac:dyDescent="0.25">
      <c r="A772" s="16"/>
      <c r="B772" s="16"/>
      <c r="C772" s="522" t="s">
        <v>626</v>
      </c>
      <c r="D772" s="522"/>
      <c r="E772" s="522"/>
      <c r="F772" s="522"/>
      <c r="G772" s="519"/>
      <c r="H772" s="519"/>
      <c r="I772" s="519"/>
      <c r="J772" s="3039"/>
      <c r="K772" s="519"/>
      <c r="L772" s="520"/>
      <c r="M772" s="65"/>
      <c r="N772" s="65"/>
      <c r="O772" s="20"/>
      <c r="P772" s="20"/>
      <c r="Q772" s="20"/>
      <c r="R772" s="16"/>
    </row>
    <row r="773" spans="1:18" s="34" customFormat="1" ht="13.5" hidden="1" thickBot="1" x14ac:dyDescent="0.25">
      <c r="A773" s="16"/>
      <c r="B773" s="16"/>
      <c r="C773" s="16"/>
      <c r="D773" s="16"/>
      <c r="E773" s="16"/>
      <c r="F773" s="16"/>
      <c r="G773" s="519"/>
      <c r="H773" s="519"/>
      <c r="I773" s="519"/>
      <c r="J773" s="2310"/>
      <c r="K773" s="519"/>
      <c r="L773" s="520"/>
      <c r="M773" s="65"/>
      <c r="N773" s="65"/>
      <c r="O773" s="20"/>
      <c r="P773" s="20"/>
      <c r="Q773" s="20"/>
      <c r="R773" s="16"/>
    </row>
    <row r="774" spans="1:18" s="592" customFormat="1" ht="22.5" x14ac:dyDescent="0.2">
      <c r="A774" s="2540" t="s">
        <v>440</v>
      </c>
      <c r="B774" s="3173"/>
      <c r="C774" s="2585"/>
      <c r="D774" s="3174">
        <v>2018</v>
      </c>
      <c r="E774" s="3174" t="s">
        <v>825</v>
      </c>
      <c r="F774" s="3175" t="s">
        <v>958</v>
      </c>
      <c r="G774" s="3176">
        <v>2021</v>
      </c>
      <c r="H774" s="3177" t="s">
        <v>873</v>
      </c>
      <c r="I774" s="3177" t="s">
        <v>929</v>
      </c>
      <c r="J774" s="3178">
        <v>2022</v>
      </c>
      <c r="K774" s="3179">
        <v>2023</v>
      </c>
      <c r="L774" s="3180">
        <v>2024</v>
      </c>
      <c r="M774" s="589"/>
      <c r="N774" s="590"/>
      <c r="O774" s="591"/>
      <c r="P774" s="526"/>
      <c r="Q774" s="527"/>
    </row>
    <row r="775" spans="1:18" s="3192" customFormat="1" ht="11.25" x14ac:dyDescent="0.2">
      <c r="A775" s="3182">
        <v>811</v>
      </c>
      <c r="B775" s="3183"/>
      <c r="C775" s="3193" t="s">
        <v>955</v>
      </c>
      <c r="D775" s="3184"/>
      <c r="E775" s="3185"/>
      <c r="F775" s="3185">
        <v>16327</v>
      </c>
      <c r="G775" s="3185"/>
      <c r="H775" s="3181"/>
      <c r="I775" s="3181"/>
      <c r="J775" s="3186"/>
      <c r="K775" s="3185"/>
      <c r="L775" s="3185"/>
      <c r="M775" s="3187"/>
      <c r="N775" s="3188"/>
      <c r="O775" s="3189"/>
      <c r="P775" s="3190"/>
      <c r="Q775" s="3191"/>
    </row>
    <row r="776" spans="1:18" s="53" customFormat="1" x14ac:dyDescent="0.2">
      <c r="A776" s="565">
        <v>819</v>
      </c>
      <c r="B776" s="566"/>
      <c r="C776" s="2518" t="s">
        <v>840</v>
      </c>
      <c r="D776" s="1439">
        <v>9200</v>
      </c>
      <c r="E776" s="1439">
        <v>3200</v>
      </c>
      <c r="F776" s="2516">
        <v>51200</v>
      </c>
      <c r="G776" s="2852">
        <v>0</v>
      </c>
      <c r="H776" s="3015">
        <v>400</v>
      </c>
      <c r="I776" s="2358">
        <v>400</v>
      </c>
      <c r="J776" s="2358">
        <v>0</v>
      </c>
      <c r="K776" s="2082"/>
      <c r="L776" s="1376"/>
      <c r="M776" s="73"/>
      <c r="N776" s="20"/>
      <c r="O776" s="73"/>
      <c r="P776" s="65"/>
      <c r="Q776" s="65"/>
      <c r="R776" s="16"/>
    </row>
    <row r="777" spans="1:18" s="53" customFormat="1" x14ac:dyDescent="0.2">
      <c r="A777" s="42">
        <v>819</v>
      </c>
      <c r="B777" s="43" t="s">
        <v>120</v>
      </c>
      <c r="C777" s="1453" t="s">
        <v>819</v>
      </c>
      <c r="D777" s="132"/>
      <c r="E777" s="638">
        <v>32</v>
      </c>
      <c r="F777" s="1526">
        <v>20</v>
      </c>
      <c r="G777" s="2853"/>
      <c r="H777" s="3016"/>
      <c r="I777" s="2322">
        <v>10</v>
      </c>
      <c r="J777" s="2322">
        <v>0</v>
      </c>
      <c r="K777" s="2331">
        <v>0</v>
      </c>
      <c r="L777" s="1373">
        <v>0</v>
      </c>
      <c r="M777" s="73"/>
      <c r="N777" s="20"/>
      <c r="O777" s="73"/>
      <c r="P777" s="65"/>
      <c r="Q777" s="65"/>
      <c r="R777" s="16"/>
    </row>
    <row r="778" spans="1:18" s="53" customFormat="1" x14ac:dyDescent="0.2">
      <c r="A778" s="42">
        <v>814</v>
      </c>
      <c r="B778" s="43" t="s">
        <v>94</v>
      </c>
      <c r="C778" s="1453" t="s">
        <v>806</v>
      </c>
      <c r="D778" s="1372">
        <v>5000</v>
      </c>
      <c r="E778" s="1372">
        <v>0</v>
      </c>
      <c r="F778" s="2165"/>
      <c r="G778" s="2854">
        <v>15000</v>
      </c>
      <c r="H778" s="3017">
        <v>38700</v>
      </c>
      <c r="I778" s="2322">
        <v>38700</v>
      </c>
      <c r="J778" s="2322">
        <v>38700</v>
      </c>
      <c r="K778" s="2062">
        <v>30000</v>
      </c>
      <c r="L778" s="1368">
        <v>20000</v>
      </c>
      <c r="M778" s="73"/>
      <c r="N778" s="20"/>
      <c r="O778" s="73"/>
      <c r="P778" s="65"/>
      <c r="Q778" s="65"/>
      <c r="R778" s="16"/>
    </row>
    <row r="779" spans="1:18" s="53" customFormat="1" x14ac:dyDescent="0.2">
      <c r="A779" s="42">
        <v>812</v>
      </c>
      <c r="B779" s="43"/>
      <c r="C779" s="1453" t="s">
        <v>782</v>
      </c>
      <c r="D779" s="1372">
        <v>0</v>
      </c>
      <c r="E779" s="1372">
        <v>3150</v>
      </c>
      <c r="F779" s="2165"/>
      <c r="G779" s="2853"/>
      <c r="H779" s="3016"/>
      <c r="I779" s="2322"/>
      <c r="J779" s="2322"/>
      <c r="K779" s="2062"/>
      <c r="L779" s="1374"/>
      <c r="M779" s="73"/>
      <c r="N779" s="20"/>
      <c r="O779" s="73"/>
      <c r="P779" s="65"/>
      <c r="Q779" s="65"/>
      <c r="R779" s="16"/>
    </row>
    <row r="780" spans="1:18" s="53" customFormat="1" x14ac:dyDescent="0.2">
      <c r="A780" s="42">
        <v>821</v>
      </c>
      <c r="B780" s="43"/>
      <c r="C780" s="1453" t="s">
        <v>869</v>
      </c>
      <c r="D780" s="1372">
        <v>2391000</v>
      </c>
      <c r="E780" s="1372">
        <v>5615422</v>
      </c>
      <c r="F780" s="2165">
        <v>2651080</v>
      </c>
      <c r="G780" s="2853">
        <v>1033550</v>
      </c>
      <c r="H780" s="3016">
        <v>1033074</v>
      </c>
      <c r="I780" s="3107">
        <v>1033074</v>
      </c>
      <c r="J780" s="2322">
        <v>0</v>
      </c>
      <c r="K780" s="2078">
        <v>0</v>
      </c>
      <c r="L780" s="2117">
        <v>0</v>
      </c>
      <c r="M780" s="73"/>
      <c r="N780" s="20"/>
      <c r="O780" s="73"/>
      <c r="P780" s="65"/>
      <c r="Q780" s="65"/>
      <c r="R780" s="16"/>
    </row>
    <row r="781" spans="1:18" s="53" customFormat="1" ht="13.5" thickBot="1" x14ac:dyDescent="0.25">
      <c r="A781" s="63">
        <v>821</v>
      </c>
      <c r="B781" s="85"/>
      <c r="C781" s="2826" t="s">
        <v>868</v>
      </c>
      <c r="D781" s="1371">
        <v>0</v>
      </c>
      <c r="E781" s="1371">
        <v>0</v>
      </c>
      <c r="F781" s="2827">
        <v>26060</v>
      </c>
      <c r="G781" s="2855">
        <v>78180</v>
      </c>
      <c r="H781" s="2936">
        <v>78180</v>
      </c>
      <c r="I781" s="2357">
        <v>78180</v>
      </c>
      <c r="J781" s="3143">
        <v>86592</v>
      </c>
      <c r="K781" s="3141">
        <v>95000</v>
      </c>
      <c r="L781" s="3142">
        <v>95000</v>
      </c>
      <c r="M781" s="73"/>
      <c r="N781" s="20"/>
      <c r="O781" s="73"/>
      <c r="P781" s="73"/>
      <c r="Q781" s="73"/>
      <c r="R781" s="16"/>
    </row>
    <row r="782" spans="1:18" ht="13.5" thickBot="1" x14ac:dyDescent="0.25">
      <c r="A782" s="2793" t="s">
        <v>627</v>
      </c>
      <c r="B782" s="2832"/>
      <c r="C782" s="2795"/>
      <c r="D782" s="2828">
        <f>SUM(D776:D781)</f>
        <v>2405200</v>
      </c>
      <c r="E782" s="2829">
        <f>SUM(E775:E781)</f>
        <v>5621804</v>
      </c>
      <c r="F782" s="2830">
        <f>SUM(F775:F781)</f>
        <v>2744687</v>
      </c>
      <c r="G782" s="2798">
        <f>SUM(G776:G781)</f>
        <v>1126730</v>
      </c>
      <c r="H782" s="2797">
        <f>H776+H781+H780+H778</f>
        <v>1150354</v>
      </c>
      <c r="I782" s="2798">
        <f>I776+I781+I780+I778</f>
        <v>1150354</v>
      </c>
      <c r="J782" s="2330">
        <f>J776+J781+J780+J778</f>
        <v>125292</v>
      </c>
      <c r="K782" s="2831">
        <f>K776+K781+K780+K778</f>
        <v>125000</v>
      </c>
      <c r="L782" s="2801">
        <f>L776+L781+L780+L778</f>
        <v>115000</v>
      </c>
      <c r="M782" s="74"/>
      <c r="N782" s="584"/>
      <c r="O782" s="530"/>
      <c r="P782" s="530"/>
      <c r="Q782" s="530"/>
    </row>
    <row r="783" spans="1:18" x14ac:dyDescent="0.2">
      <c r="A783" s="134"/>
      <c r="B783" s="20"/>
      <c r="C783" s="134"/>
      <c r="D783" s="126"/>
      <c r="E783" s="1454"/>
      <c r="F783" s="1454"/>
      <c r="G783" s="126"/>
      <c r="H783" s="126"/>
      <c r="I783" s="126"/>
      <c r="J783" s="2324"/>
      <c r="K783" s="126"/>
      <c r="L783" s="126"/>
      <c r="M783" s="74"/>
      <c r="N783" s="584"/>
      <c r="O783" s="530"/>
      <c r="P783" s="530"/>
      <c r="Q783" s="530"/>
    </row>
    <row r="784" spans="1:18" x14ac:dyDescent="0.2">
      <c r="A784" s="134"/>
      <c r="B784" s="20"/>
      <c r="C784" s="134"/>
      <c r="D784" s="126"/>
      <c r="E784" s="1454"/>
      <c r="F784" s="1454"/>
      <c r="G784" s="126"/>
      <c r="H784" s="126"/>
      <c r="I784" s="126"/>
      <c r="J784" s="2324"/>
      <c r="K784" s="126"/>
      <c r="L784" s="126"/>
      <c r="M784" s="74"/>
      <c r="N784" s="584"/>
      <c r="O784" s="530"/>
      <c r="P784" s="530"/>
      <c r="Q784" s="530"/>
    </row>
    <row r="785" spans="1:17" x14ac:dyDescent="0.2">
      <c r="A785" s="134"/>
      <c r="B785" s="20"/>
      <c r="C785" s="134"/>
      <c r="D785" s="126"/>
      <c r="E785" s="1454"/>
      <c r="F785" s="1454"/>
      <c r="G785" s="126"/>
      <c r="H785" s="126"/>
      <c r="I785" s="126"/>
      <c r="J785" s="2324"/>
      <c r="K785" s="126"/>
      <c r="L785" s="126"/>
      <c r="M785" s="74"/>
      <c r="N785" s="584"/>
      <c r="O785" s="530"/>
      <c r="P785" s="530"/>
      <c r="Q785" s="530"/>
    </row>
    <row r="786" spans="1:17" x14ac:dyDescent="0.2">
      <c r="A786" s="134"/>
      <c r="B786" s="20"/>
      <c r="C786" s="134"/>
      <c r="D786" s="126"/>
      <c r="E786" s="1454"/>
      <c r="F786" s="1454"/>
      <c r="G786" s="126"/>
      <c r="H786" s="126"/>
      <c r="I786" s="126"/>
      <c r="J786" s="2324"/>
      <c r="K786" s="126"/>
      <c r="L786" s="126"/>
      <c r="M786" s="74"/>
      <c r="N786" s="584"/>
      <c r="O786" s="530"/>
      <c r="P786" s="530"/>
      <c r="Q786" s="530"/>
    </row>
    <row r="787" spans="1:17" x14ac:dyDescent="0.2">
      <c r="A787" s="134"/>
      <c r="B787" s="20"/>
      <c r="C787" s="134"/>
      <c r="D787" s="126"/>
      <c r="E787" s="1454"/>
      <c r="F787" s="1454"/>
      <c r="G787" s="126"/>
      <c r="H787" s="126"/>
      <c r="I787" s="126"/>
      <c r="J787" s="2324"/>
      <c r="K787" s="126"/>
      <c r="L787" s="126"/>
      <c r="M787" s="74"/>
      <c r="N787" s="584"/>
      <c r="O787" s="530"/>
      <c r="P787" s="530"/>
      <c r="Q787" s="530"/>
    </row>
    <row r="788" spans="1:17" x14ac:dyDescent="0.2">
      <c r="A788" s="134"/>
      <c r="B788" s="20"/>
      <c r="C788" s="134"/>
      <c r="D788" s="126"/>
      <c r="E788" s="1454"/>
      <c r="F788" s="1454"/>
      <c r="G788" s="126"/>
      <c r="H788" s="126"/>
      <c r="I788" s="126"/>
      <c r="J788" s="2324"/>
      <c r="K788" s="126"/>
      <c r="L788" s="126"/>
      <c r="M788" s="74"/>
      <c r="N788" s="584"/>
      <c r="O788" s="530"/>
      <c r="P788" s="530"/>
      <c r="Q788" s="530"/>
    </row>
    <row r="789" spans="1:17" hidden="1" x14ac:dyDescent="0.2">
      <c r="A789" s="134"/>
      <c r="B789" s="20"/>
      <c r="C789" s="134"/>
      <c r="D789" s="126"/>
      <c r="E789" s="1454"/>
      <c r="F789" s="1454"/>
      <c r="G789" s="126"/>
      <c r="H789" s="126"/>
      <c r="I789" s="126"/>
      <c r="J789" s="2324"/>
      <c r="K789" s="126"/>
      <c r="L789" s="126"/>
      <c r="M789" s="74"/>
      <c r="N789" s="584"/>
      <c r="O789" s="530"/>
      <c r="P789" s="530"/>
      <c r="Q789" s="530"/>
    </row>
    <row r="790" spans="1:17" hidden="1" x14ac:dyDescent="0.2">
      <c r="A790" s="134"/>
      <c r="B790" s="20"/>
      <c r="C790" s="134"/>
      <c r="D790" s="126"/>
      <c r="E790" s="1454"/>
      <c r="F790" s="1454"/>
      <c r="G790" s="126"/>
      <c r="H790" s="126"/>
      <c r="I790" s="126"/>
      <c r="J790" s="2324"/>
      <c r="K790" s="126"/>
      <c r="L790" s="126"/>
      <c r="M790" s="74"/>
      <c r="N790" s="584"/>
      <c r="O790" s="530"/>
      <c r="P790" s="530"/>
      <c r="Q790" s="530"/>
    </row>
    <row r="791" spans="1:17" hidden="1" x14ac:dyDescent="0.2">
      <c r="A791" s="134"/>
      <c r="B791" s="20"/>
      <c r="C791" s="134"/>
      <c r="D791" s="126"/>
      <c r="E791" s="1454"/>
      <c r="F791" s="1454"/>
      <c r="G791" s="126"/>
      <c r="H791" s="126"/>
      <c r="I791" s="126"/>
      <c r="J791" s="2324"/>
      <c r="K791" s="126"/>
      <c r="L791" s="126"/>
      <c r="M791" s="74"/>
      <c r="N791" s="584"/>
      <c r="O791" s="530"/>
      <c r="P791" s="530"/>
      <c r="Q791" s="530"/>
    </row>
    <row r="792" spans="1:17" hidden="1" x14ac:dyDescent="0.2">
      <c r="A792" s="134"/>
      <c r="B792" s="20"/>
      <c r="C792" s="134"/>
      <c r="D792" s="126"/>
      <c r="E792" s="1454"/>
      <c r="F792" s="1454"/>
      <c r="G792" s="126"/>
      <c r="H792" s="126"/>
      <c r="I792" s="126"/>
      <c r="J792" s="2324"/>
      <c r="K792" s="126"/>
      <c r="L792" s="126"/>
      <c r="M792" s="74"/>
      <c r="N792" s="584"/>
      <c r="O792" s="530"/>
      <c r="P792" s="530"/>
      <c r="Q792" s="530"/>
    </row>
    <row r="793" spans="1:17" hidden="1" x14ac:dyDescent="0.2">
      <c r="A793" s="134"/>
      <c r="B793" s="20"/>
      <c r="C793" s="134"/>
      <c r="D793" s="126"/>
      <c r="E793" s="1454"/>
      <c r="F793" s="1454"/>
      <c r="G793" s="126"/>
      <c r="H793" s="126"/>
      <c r="I793" s="126"/>
      <c r="J793" s="2324"/>
      <c r="K793" s="126"/>
      <c r="L793" s="126"/>
      <c r="M793" s="74"/>
      <c r="N793" s="584"/>
      <c r="O793" s="530"/>
      <c r="P793" s="530"/>
      <c r="Q793" s="530"/>
    </row>
    <row r="794" spans="1:17" hidden="1" x14ac:dyDescent="0.2">
      <c r="A794" s="134"/>
      <c r="B794" s="20"/>
      <c r="C794" s="134"/>
      <c r="D794" s="126"/>
      <c r="E794" s="1454"/>
      <c r="F794" s="1454"/>
      <c r="G794" s="126"/>
      <c r="H794" s="126"/>
      <c r="I794" s="126"/>
      <c r="J794" s="2324"/>
      <c r="K794" s="126"/>
      <c r="L794" s="126"/>
      <c r="M794" s="74"/>
      <c r="N794" s="584"/>
      <c r="O794" s="530"/>
      <c r="P794" s="530"/>
      <c r="Q794" s="530"/>
    </row>
    <row r="795" spans="1:17" hidden="1" x14ac:dyDescent="0.2">
      <c r="A795" s="134"/>
      <c r="B795" s="20"/>
      <c r="C795" s="134"/>
      <c r="D795" s="126"/>
      <c r="E795" s="1454"/>
      <c r="F795" s="1454"/>
      <c r="G795" s="126"/>
      <c r="H795" s="126"/>
      <c r="I795" s="126"/>
      <c r="J795" s="2324"/>
      <c r="K795" s="126"/>
      <c r="L795" s="126"/>
      <c r="M795" s="74"/>
      <c r="N795" s="584"/>
      <c r="O795" s="530"/>
      <c r="P795" s="530"/>
      <c r="Q795" s="530"/>
    </row>
    <row r="796" spans="1:17" hidden="1" x14ac:dyDescent="0.2">
      <c r="A796" s="134"/>
      <c r="B796" s="20"/>
      <c r="C796" s="134"/>
      <c r="D796" s="126"/>
      <c r="E796" s="1454"/>
      <c r="F796" s="1454"/>
      <c r="G796" s="126"/>
      <c r="H796" s="126"/>
      <c r="I796" s="126"/>
      <c r="J796" s="2324"/>
      <c r="K796" s="126"/>
      <c r="L796" s="126"/>
      <c r="M796" s="74"/>
      <c r="N796" s="584"/>
      <c r="O796" s="530"/>
      <c r="P796" s="530"/>
      <c r="Q796" s="530"/>
    </row>
    <row r="797" spans="1:17" ht="13.5" thickBot="1" x14ac:dyDescent="0.25">
      <c r="A797" s="53"/>
      <c r="B797" s="53"/>
      <c r="C797" s="53"/>
      <c r="D797" s="53"/>
      <c r="E797" s="53"/>
      <c r="F797" s="53"/>
      <c r="G797" s="639"/>
      <c r="H797" s="639"/>
      <c r="I797" s="639"/>
      <c r="J797" s="2324"/>
      <c r="K797" s="639"/>
      <c r="L797" s="57"/>
    </row>
    <row r="798" spans="1:17" ht="13.5" hidden="1" thickBot="1" x14ac:dyDescent="0.25">
      <c r="A798" s="53"/>
      <c r="B798" s="53"/>
      <c r="C798" s="53"/>
      <c r="D798" s="53"/>
      <c r="E798" s="53"/>
      <c r="F798" s="53"/>
      <c r="G798" s="639"/>
      <c r="H798" s="639"/>
      <c r="I798" s="639"/>
      <c r="K798" s="639"/>
      <c r="L798" s="57"/>
    </row>
    <row r="799" spans="1:17" ht="13.5" hidden="1" thickBot="1" x14ac:dyDescent="0.25">
      <c r="A799" s="53"/>
      <c r="B799" s="53"/>
      <c r="C799" s="53"/>
      <c r="D799" s="53"/>
      <c r="E799" s="53"/>
      <c r="F799" s="53"/>
      <c r="G799" s="639"/>
      <c r="H799" s="639"/>
      <c r="I799" s="639"/>
      <c r="K799" s="639"/>
      <c r="L799" s="57"/>
    </row>
    <row r="800" spans="1:17" s="592" customFormat="1" ht="24.75" thickBot="1" x14ac:dyDescent="0.25">
      <c r="A800" s="665" t="s">
        <v>446</v>
      </c>
      <c r="B800" s="666"/>
      <c r="C800" s="667"/>
      <c r="D800" s="2835">
        <v>2018</v>
      </c>
      <c r="E800" s="2836" t="s">
        <v>957</v>
      </c>
      <c r="F800" s="2837" t="s">
        <v>958</v>
      </c>
      <c r="G800" s="2834">
        <v>2021</v>
      </c>
      <c r="H800" s="3012" t="s">
        <v>928</v>
      </c>
      <c r="I800" s="2318" t="s">
        <v>930</v>
      </c>
      <c r="J800" s="3112">
        <v>2022</v>
      </c>
      <c r="K800" s="668">
        <v>2023</v>
      </c>
      <c r="L800" s="669">
        <v>2024</v>
      </c>
      <c r="M800" s="590"/>
      <c r="N800" s="590"/>
      <c r="O800" s="670"/>
      <c r="P800" s="671"/>
      <c r="Q800" s="527"/>
    </row>
    <row r="801" spans="1:18" x14ac:dyDescent="0.2">
      <c r="A801" s="1093" t="s">
        <v>628</v>
      </c>
      <c r="B801" s="1094"/>
      <c r="C801" s="1094"/>
      <c r="D801" s="1379">
        <f>D622-D382-D437</f>
        <v>1044165</v>
      </c>
      <c r="E801" s="140">
        <f>SUM(E622)-E382-E437</f>
        <v>1152731.9999999998</v>
      </c>
      <c r="F801" s="1371">
        <f>F622-F382-F437</f>
        <v>1078362.0000000002</v>
      </c>
      <c r="G801" s="1455">
        <f>SUM(G622)-G382-G437</f>
        <v>1112885</v>
      </c>
      <c r="H801" s="2916">
        <f>H622-H382-H437</f>
        <v>1158819</v>
      </c>
      <c r="I801" s="3108">
        <f>I622-I382-I437</f>
        <v>1162796</v>
      </c>
      <c r="J801" s="2320">
        <f>J622-J382-J437</f>
        <v>1131398</v>
      </c>
      <c r="K801" s="1361">
        <f>SUM(K102,K119,K165,K227,K271,K290,K308,K375,K577,K621)</f>
        <v>2524943</v>
      </c>
      <c r="L801" s="1362">
        <f>SUM(L622)</f>
        <v>2591493</v>
      </c>
      <c r="M801" s="73"/>
      <c r="N801" s="672"/>
      <c r="O801" s="73"/>
      <c r="P801" s="73"/>
      <c r="Q801" s="73"/>
      <c r="R801" s="673"/>
    </row>
    <row r="802" spans="1:18" x14ac:dyDescent="0.2">
      <c r="A802" s="1093" t="s">
        <v>629</v>
      </c>
      <c r="B802" s="1094"/>
      <c r="C802" s="1094"/>
      <c r="D802" s="1456">
        <f>D760</f>
        <v>3657374</v>
      </c>
      <c r="E802" s="49">
        <f>SUM(E760)</f>
        <v>6479648</v>
      </c>
      <c r="F802" s="1372">
        <f>F760</f>
        <v>3253234</v>
      </c>
      <c r="G802" s="1419">
        <f>SUM(G760)</f>
        <v>815000</v>
      </c>
      <c r="H802" s="3009">
        <f>H760</f>
        <v>901194</v>
      </c>
      <c r="I802" s="3109">
        <f>I760</f>
        <v>887305.28</v>
      </c>
      <c r="J802" s="2322">
        <f>J760</f>
        <v>154268</v>
      </c>
      <c r="K802" s="1365">
        <f>K760</f>
        <v>6000</v>
      </c>
      <c r="L802" s="1366">
        <f>SUM(L760)</f>
        <v>6000</v>
      </c>
      <c r="M802" s="73"/>
      <c r="N802" s="672"/>
      <c r="O802" s="65"/>
      <c r="P802" s="65"/>
      <c r="Q802" s="65"/>
      <c r="R802" s="144"/>
    </row>
    <row r="803" spans="1:18" x14ac:dyDescent="0.2">
      <c r="A803" s="1093" t="s">
        <v>440</v>
      </c>
      <c r="B803" s="1094"/>
      <c r="C803" s="1094"/>
      <c r="D803" s="1457">
        <f t="shared" ref="D803:K803" si="80">D782</f>
        <v>2405200</v>
      </c>
      <c r="E803" s="1458">
        <f t="shared" si="80"/>
        <v>5621804</v>
      </c>
      <c r="F803" s="1439">
        <f t="shared" si="80"/>
        <v>2744687</v>
      </c>
      <c r="G803" s="1459">
        <f t="shared" si="80"/>
        <v>1126730</v>
      </c>
      <c r="H803" s="2916">
        <f t="shared" si="80"/>
        <v>1150354</v>
      </c>
      <c r="I803" s="3108">
        <f>I782</f>
        <v>1150354</v>
      </c>
      <c r="J803" s="2322">
        <f>J782</f>
        <v>125292</v>
      </c>
      <c r="K803" s="1356">
        <f t="shared" si="80"/>
        <v>125000</v>
      </c>
      <c r="L803" s="1359">
        <f>SUM(L782)</f>
        <v>115000</v>
      </c>
      <c r="M803" s="73"/>
      <c r="N803" s="672"/>
      <c r="O803" s="73"/>
      <c r="P803" s="73"/>
      <c r="Q803" s="73"/>
      <c r="R803" s="674"/>
    </row>
    <row r="804" spans="1:18" x14ac:dyDescent="0.2">
      <c r="A804" s="2051" t="s">
        <v>841</v>
      </c>
      <c r="B804" s="2052"/>
      <c r="C804" s="2052"/>
      <c r="D804" s="2053">
        <f t="shared" ref="D804:J804" si="81">D382+D437</f>
        <v>941483</v>
      </c>
      <c r="E804" s="136">
        <f t="shared" si="81"/>
        <v>1019532.36</v>
      </c>
      <c r="F804" s="54">
        <f t="shared" si="81"/>
        <v>1208049.74</v>
      </c>
      <c r="G804" s="2054">
        <f t="shared" si="81"/>
        <v>1251260</v>
      </c>
      <c r="H804" s="3010">
        <f t="shared" si="81"/>
        <v>1252500</v>
      </c>
      <c r="I804" s="3110">
        <f t="shared" si="81"/>
        <v>1242186</v>
      </c>
      <c r="J804" s="2315">
        <f t="shared" si="81"/>
        <v>1254904</v>
      </c>
      <c r="K804" s="1358"/>
      <c r="L804" s="2055"/>
      <c r="M804" s="73"/>
      <c r="N804" s="672"/>
      <c r="O804" s="73"/>
      <c r="P804" s="73"/>
      <c r="Q804" s="73"/>
      <c r="R804" s="674"/>
    </row>
    <row r="805" spans="1:18" ht="13.5" thickBot="1" x14ac:dyDescent="0.25">
      <c r="A805" s="145" t="s">
        <v>630</v>
      </c>
      <c r="B805" s="146"/>
      <c r="C805" s="146"/>
      <c r="D805" s="1460">
        <f>SUM(D801:D803)+D804</f>
        <v>8048222</v>
      </c>
      <c r="E805" s="1461">
        <f>SUM(E801,E802,E803)+E804</f>
        <v>14273716.359999999</v>
      </c>
      <c r="F805" s="1462">
        <f>SUM(F801:F803)+F804</f>
        <v>8284332.7400000002</v>
      </c>
      <c r="G805" s="1463">
        <f>SUM(G801,G802,G803)+G804</f>
        <v>4305875</v>
      </c>
      <c r="H805" s="1809">
        <f>H801+H802+H803+H804</f>
        <v>4462867</v>
      </c>
      <c r="I805" s="2319">
        <f>I801+I802+I803+I804</f>
        <v>4442641.28</v>
      </c>
      <c r="J805" s="2323">
        <f>J801+J802+J803+J804</f>
        <v>2665862</v>
      </c>
      <c r="K805" s="1464">
        <f>K801+K802+K803</f>
        <v>2655943</v>
      </c>
      <c r="L805" s="1770">
        <f>SUM(L801,L802,L803)</f>
        <v>2712493</v>
      </c>
      <c r="M805" s="73"/>
      <c r="N805" s="672"/>
      <c r="O805" s="73"/>
      <c r="P805" s="73"/>
      <c r="Q805" s="73"/>
    </row>
    <row r="806" spans="1:18" ht="15" thickBot="1" x14ac:dyDescent="0.25">
      <c r="A806" s="675"/>
      <c r="B806" s="676"/>
      <c r="C806" s="676"/>
      <c r="D806" s="639"/>
      <c r="E806" s="519"/>
      <c r="F806" s="519"/>
      <c r="H806" s="125"/>
      <c r="I806" s="125"/>
      <c r="J806" s="2312"/>
      <c r="K806" s="125"/>
      <c r="L806" s="57"/>
      <c r="N806" s="677"/>
    </row>
    <row r="807" spans="1:18" x14ac:dyDescent="0.2">
      <c r="A807" s="1101" t="s">
        <v>1</v>
      </c>
      <c r="B807" s="1102"/>
      <c r="C807" s="1102"/>
      <c r="D807" s="1465">
        <f>príjmy!J281</f>
        <v>1379071.67</v>
      </c>
      <c r="E807" s="1466">
        <f>SUM(príjmy!K281)</f>
        <v>1572065.0699999998</v>
      </c>
      <c r="F807" s="1467">
        <f>príjmy!L281</f>
        <v>1575644</v>
      </c>
      <c r="G807" s="1468">
        <f>príjmy!M281</f>
        <v>1436105</v>
      </c>
      <c r="H807" s="3011">
        <f>príjmy!N281</f>
        <v>1532958</v>
      </c>
      <c r="I807" s="3111">
        <f>príjmy!O281</f>
        <v>1565881</v>
      </c>
      <c r="J807" s="2321">
        <f>príjmy!P281</f>
        <v>1486550</v>
      </c>
      <c r="K807" s="1469">
        <f>príjmy!Q281</f>
        <v>1605808</v>
      </c>
      <c r="L807" s="1470">
        <f>SUM(príjmy!R118)</f>
        <v>1675655</v>
      </c>
      <c r="M807" s="89"/>
      <c r="N807" s="68"/>
      <c r="O807" s="73"/>
      <c r="P807" s="73"/>
      <c r="Q807" s="73"/>
      <c r="R807" s="143"/>
    </row>
    <row r="808" spans="1:18" x14ac:dyDescent="0.2">
      <c r="A808" s="1093" t="s">
        <v>79</v>
      </c>
      <c r="B808" s="1094"/>
      <c r="C808" s="1094"/>
      <c r="D808" s="1379">
        <f>príjmy!J282</f>
        <v>2604287.5699999998</v>
      </c>
      <c r="E808" s="140">
        <f>SUM(príjmy!K282)</f>
        <v>5822473</v>
      </c>
      <c r="F808" s="1371">
        <f>príjmy!L282</f>
        <v>2970920</v>
      </c>
      <c r="G808" s="1455">
        <f>príjmy!M282</f>
        <v>1812800</v>
      </c>
      <c r="H808" s="2916">
        <f>príjmy!N282</f>
        <v>1701738</v>
      </c>
      <c r="I808" s="3108">
        <f>príjmy!O282</f>
        <v>1729284</v>
      </c>
      <c r="J808" s="2322">
        <f>príjmy!P282</f>
        <v>64250</v>
      </c>
      <c r="K808" s="1356">
        <f>príjmy!Q282</f>
        <v>30000</v>
      </c>
      <c r="L808" s="1359">
        <f>SUM(príjmy!R155)</f>
        <v>20000</v>
      </c>
      <c r="M808" s="89"/>
      <c r="N808" s="68"/>
      <c r="O808" s="73"/>
      <c r="P808" s="73"/>
      <c r="Q808" s="73"/>
      <c r="R808" s="519"/>
    </row>
    <row r="809" spans="1:18" x14ac:dyDescent="0.2">
      <c r="A809" s="1093" t="s">
        <v>85</v>
      </c>
      <c r="B809" s="1094"/>
      <c r="C809" s="1094"/>
      <c r="D809" s="1456">
        <f>príjmy!J283</f>
        <v>3473630.42</v>
      </c>
      <c r="E809" s="49">
        <f>SUM(príjmy!K283)</f>
        <v>6315786</v>
      </c>
      <c r="F809" s="1372">
        <f>príjmy!L283</f>
        <v>2880952</v>
      </c>
      <c r="G809" s="1419">
        <f>príjmy!M283</f>
        <v>90020</v>
      </c>
      <c r="H809" s="2916">
        <f>príjmy!N283</f>
        <v>245468.41</v>
      </c>
      <c r="I809" s="3108">
        <f>príjmy!O283</f>
        <v>260725</v>
      </c>
      <c r="J809" s="2322">
        <f>príjmy!P283</f>
        <v>101860.8</v>
      </c>
      <c r="K809" s="1356">
        <f>príjmy!Q283</f>
        <v>50</v>
      </c>
      <c r="L809" s="1359">
        <f>SUM(príjmy!R202)</f>
        <v>50</v>
      </c>
      <c r="M809" s="89"/>
      <c r="N809" s="68"/>
      <c r="O809" s="73"/>
      <c r="P809" s="73"/>
      <c r="Q809" s="73"/>
      <c r="R809" s="144"/>
    </row>
    <row r="810" spans="1:18" x14ac:dyDescent="0.2">
      <c r="A810" s="1093" t="s">
        <v>161</v>
      </c>
      <c r="B810" s="1094"/>
      <c r="C810" s="1094"/>
      <c r="D810" s="1457">
        <f>príjmy!J284</f>
        <v>696009</v>
      </c>
      <c r="E810" s="1458">
        <f>príjmy!K268</f>
        <v>753504.09</v>
      </c>
      <c r="F810" s="1439">
        <f>príjmy!L284</f>
        <v>930051.71</v>
      </c>
      <c r="G810" s="1459">
        <f>príjmy!M284</f>
        <v>967961</v>
      </c>
      <c r="H810" s="2916">
        <f>príjmy!N284</f>
        <v>985398</v>
      </c>
      <c r="I810" s="3108">
        <f>príjmy!O284</f>
        <v>966437</v>
      </c>
      <c r="J810" s="2322">
        <f>príjmy!P284</f>
        <v>1022655</v>
      </c>
      <c r="K810" s="1356">
        <f>príjmy!Q268</f>
        <v>1028934</v>
      </c>
      <c r="L810" s="1359">
        <f>SUM(príjmy!R268)</f>
        <v>1028934</v>
      </c>
      <c r="M810" s="89"/>
      <c r="N810" s="68"/>
      <c r="O810" s="73"/>
      <c r="P810" s="73"/>
      <c r="Q810" s="73"/>
      <c r="R810" s="19"/>
    </row>
    <row r="811" spans="1:18" ht="13.5" thickBot="1" x14ac:dyDescent="0.25">
      <c r="A811" s="145" t="s">
        <v>166</v>
      </c>
      <c r="B811" s="146"/>
      <c r="C811" s="146"/>
      <c r="D811" s="1471">
        <f>SUM(D807:D810)</f>
        <v>8152998.6600000001</v>
      </c>
      <c r="E811" s="1472">
        <f>SUM(E807,E808,E809,E810)</f>
        <v>14463828.16</v>
      </c>
      <c r="F811" s="1473">
        <f>SUM(F807:F810)</f>
        <v>8357567.71</v>
      </c>
      <c r="G811" s="1474">
        <f>SUM(G807,G808,G809,G810)</f>
        <v>4306886</v>
      </c>
      <c r="H811" s="1809">
        <f>H807+H808+H809+H810</f>
        <v>4465562.41</v>
      </c>
      <c r="I811" s="2319">
        <f>I807+I808+I809+I810</f>
        <v>4522327</v>
      </c>
      <c r="J811" s="2323">
        <f>J807+J808+J809+J810</f>
        <v>2675315.7999999998</v>
      </c>
      <c r="K811" s="1464">
        <f>K807+K808+K809+K810</f>
        <v>2664792</v>
      </c>
      <c r="L811" s="1770">
        <f>SUM(L807,L808,L809,L810)</f>
        <v>2724639</v>
      </c>
      <c r="M811" s="89"/>
      <c r="N811" s="1766"/>
      <c r="O811" s="73"/>
      <c r="P811" s="73"/>
      <c r="Q811" s="73"/>
    </row>
    <row r="812" spans="1:18" x14ac:dyDescent="0.2">
      <c r="J812" s="2324"/>
      <c r="N812" s="104"/>
    </row>
    <row r="813" spans="1:18" x14ac:dyDescent="0.2">
      <c r="A813" s="1719"/>
      <c r="B813" s="1719"/>
      <c r="C813" s="1719"/>
      <c r="D813" s="1720">
        <f t="shared" ref="D813:L813" si="82">D811-D805</f>
        <v>104776.66000000015</v>
      </c>
      <c r="E813" s="1721">
        <f t="shared" si="82"/>
        <v>190111.80000000075</v>
      </c>
      <c r="F813" s="1721">
        <f t="shared" si="82"/>
        <v>73234.969999999739</v>
      </c>
      <c r="G813" s="1721">
        <f>G811-G805</f>
        <v>1011</v>
      </c>
      <c r="H813" s="1721">
        <f t="shared" si="82"/>
        <v>2695.410000000149</v>
      </c>
      <c r="I813" s="1721">
        <f>I811-I805</f>
        <v>79685.719999999739</v>
      </c>
      <c r="J813" s="2329">
        <f>J811-J805</f>
        <v>9453.7999999998137</v>
      </c>
      <c r="K813" s="1721">
        <f t="shared" si="82"/>
        <v>8849</v>
      </c>
      <c r="L813" s="1721">
        <f t="shared" si="82"/>
        <v>12146</v>
      </c>
      <c r="N813" s="1765"/>
      <c r="Q813" s="104"/>
    </row>
    <row r="814" spans="1:18" x14ac:dyDescent="0.2">
      <c r="A814" s="1722"/>
      <c r="B814" s="1722"/>
      <c r="C814" s="1722"/>
      <c r="D814" s="1723"/>
      <c r="E814" s="1724"/>
      <c r="F814" s="1724"/>
      <c r="G814" s="1724"/>
      <c r="H814" s="1724"/>
      <c r="I814" s="1724"/>
      <c r="J814" s="2326"/>
      <c r="K814" s="1724"/>
      <c r="L814" s="1724"/>
    </row>
    <row r="815" spans="1:18" x14ac:dyDescent="0.2">
      <c r="A815" s="3760"/>
      <c r="B815" s="3760"/>
      <c r="C815" s="1725"/>
      <c r="D815" s="1726"/>
      <c r="E815" s="1727"/>
      <c r="F815" s="1727"/>
      <c r="G815" s="1727"/>
      <c r="H815" s="1728"/>
      <c r="I815" s="1728"/>
      <c r="J815" s="2325"/>
      <c r="K815" s="1729"/>
      <c r="L815" s="1729"/>
      <c r="N815" s="104"/>
    </row>
    <row r="816" spans="1:18" x14ac:dyDescent="0.2">
      <c r="A816" s="3759"/>
      <c r="B816" s="1730"/>
      <c r="C816" s="1731"/>
      <c r="D816" s="1732"/>
      <c r="E816" s="1732"/>
      <c r="F816" s="1732"/>
      <c r="G816" s="1732"/>
      <c r="H816" s="1733"/>
      <c r="I816" s="1733"/>
      <c r="J816" s="2327"/>
      <c r="K816" s="1734"/>
      <c r="L816" s="1446"/>
      <c r="N816" s="104"/>
    </row>
    <row r="817" spans="1:14" x14ac:dyDescent="0.2">
      <c r="A817" s="3759"/>
      <c r="B817" s="1730"/>
      <c r="C817" s="1735"/>
      <c r="D817" s="1736"/>
      <c r="E817" s="1736"/>
      <c r="F817" s="1737"/>
      <c r="G817" s="1736"/>
      <c r="H817" s="1733"/>
      <c r="I817" s="1733"/>
      <c r="J817" s="2327"/>
      <c r="K817" s="1734"/>
      <c r="L817" s="1446"/>
      <c r="N817" s="104"/>
    </row>
    <row r="818" spans="1:14" x14ac:dyDescent="0.2">
      <c r="A818" s="3759"/>
      <c r="B818" s="1730"/>
      <c r="C818" s="1731"/>
      <c r="D818" s="1736"/>
      <c r="E818" s="1736"/>
      <c r="F818" s="1737"/>
      <c r="G818" s="1736"/>
      <c r="H818" s="1733"/>
      <c r="I818" s="1733"/>
      <c r="J818" s="2327"/>
      <c r="K818" s="1734"/>
      <c r="L818" s="1446"/>
    </row>
    <row r="819" spans="1:14" x14ac:dyDescent="0.2">
      <c r="A819" s="3759"/>
      <c r="B819" s="1730"/>
      <c r="C819" s="1735"/>
      <c r="D819" s="1736"/>
      <c r="E819" s="1736"/>
      <c r="F819" s="1737"/>
      <c r="G819" s="1736"/>
      <c r="H819" s="1733"/>
      <c r="I819" s="1733"/>
      <c r="J819" s="2327"/>
      <c r="K819" s="1734"/>
      <c r="L819" s="1446"/>
      <c r="N819" s="104"/>
    </row>
    <row r="820" spans="1:14" x14ac:dyDescent="0.2">
      <c r="A820" s="3759"/>
      <c r="B820" s="1730"/>
      <c r="C820" s="1731"/>
      <c r="D820" s="1732"/>
      <c r="E820" s="1732"/>
      <c r="F820" s="1737"/>
      <c r="G820" s="1732"/>
      <c r="H820" s="1733"/>
      <c r="I820" s="1733"/>
      <c r="J820" s="2327"/>
      <c r="K820" s="1734"/>
      <c r="L820" s="1446"/>
      <c r="N820" s="104"/>
    </row>
    <row r="821" spans="1:14" x14ac:dyDescent="0.2">
      <c r="A821" s="3759"/>
      <c r="B821" s="1730"/>
      <c r="C821" s="1735"/>
      <c r="D821" s="1736"/>
      <c r="E821" s="1736"/>
      <c r="F821" s="1737"/>
      <c r="G821" s="1736"/>
      <c r="H821" s="1733"/>
      <c r="I821" s="1733"/>
      <c r="J821" s="2327"/>
      <c r="K821" s="1734"/>
      <c r="L821" s="1446"/>
      <c r="N821" s="104"/>
    </row>
    <row r="822" spans="1:14" x14ac:dyDescent="0.2">
      <c r="A822" s="3759"/>
      <c r="B822" s="1730"/>
      <c r="C822" s="1731"/>
      <c r="D822" s="1736"/>
      <c r="E822" s="1736"/>
      <c r="F822" s="1737"/>
      <c r="G822" s="1736"/>
      <c r="H822" s="1733"/>
      <c r="I822" s="1733"/>
      <c r="J822" s="2327"/>
      <c r="K822" s="1734"/>
      <c r="L822" s="1446"/>
    </row>
    <row r="823" spans="1:14" x14ac:dyDescent="0.2">
      <c r="A823" s="3759"/>
      <c r="B823" s="1730"/>
      <c r="C823" s="1735"/>
      <c r="D823" s="1736"/>
      <c r="E823" s="1736"/>
      <c r="F823" s="1737"/>
      <c r="G823" s="1736"/>
      <c r="H823" s="1733"/>
      <c r="I823" s="1733"/>
      <c r="J823" s="2327"/>
      <c r="K823" s="1734"/>
      <c r="L823" s="1446"/>
    </row>
    <row r="824" spans="1:14" x14ac:dyDescent="0.2">
      <c r="A824" s="1738"/>
      <c r="B824" s="1738"/>
      <c r="C824" s="1739"/>
      <c r="D824" s="1729"/>
      <c r="E824" s="1729"/>
      <c r="F824" s="1729"/>
      <c r="G824" s="1729"/>
      <c r="H824" s="1740"/>
      <c r="I824" s="1740"/>
      <c r="J824" s="2326"/>
      <c r="K824" s="1729"/>
      <c r="L824" s="1714"/>
    </row>
    <row r="825" spans="1:14" x14ac:dyDescent="0.2">
      <c r="A825" s="3762"/>
      <c r="B825" s="3762"/>
      <c r="C825" s="1741"/>
      <c r="D825" s="1736"/>
      <c r="E825" s="1736"/>
      <c r="F825" s="1737"/>
      <c r="G825" s="1736"/>
      <c r="H825" s="1740"/>
      <c r="I825" s="1740"/>
      <c r="J825" s="2326"/>
      <c r="K825" s="1729"/>
      <c r="L825" s="1714"/>
      <c r="N825" s="104"/>
    </row>
    <row r="826" spans="1:14" x14ac:dyDescent="0.2">
      <c r="A826" s="3758"/>
      <c r="B826" s="3758"/>
      <c r="C826" s="1742"/>
      <c r="D826" s="1736"/>
      <c r="E826" s="1736"/>
      <c r="F826" s="1737"/>
      <c r="G826" s="1736"/>
      <c r="H826" s="1740"/>
      <c r="I826" s="1740"/>
      <c r="J826" s="2326"/>
      <c r="K826" s="1729"/>
      <c r="L826" s="1714"/>
      <c r="N826" s="104"/>
    </row>
    <row r="827" spans="1:14" x14ac:dyDescent="0.2">
      <c r="A827" s="1743"/>
      <c r="B827" s="1743"/>
      <c r="C827" s="1743"/>
      <c r="D827" s="1736"/>
      <c r="E827" s="1736"/>
      <c r="F827" s="1737"/>
      <c r="G827" s="1736"/>
      <c r="H827" s="1733"/>
      <c r="I827" s="1733"/>
      <c r="J827" s="2327"/>
      <c r="K827" s="1734"/>
      <c r="L827" s="1446"/>
      <c r="N827" s="104"/>
    </row>
    <row r="828" spans="1:14" x14ac:dyDescent="0.2">
      <c r="A828" s="1743"/>
      <c r="B828" s="1744"/>
      <c r="C828" s="1743"/>
      <c r="D828" s="1736"/>
      <c r="E828" s="1736"/>
      <c r="F828" s="1737"/>
      <c r="G828" s="1736"/>
      <c r="H828" s="1733"/>
      <c r="I828" s="1733"/>
      <c r="J828" s="2327"/>
      <c r="K828" s="1734"/>
      <c r="L828" s="1446"/>
    </row>
    <row r="829" spans="1:14" x14ac:dyDescent="0.2">
      <c r="A829" s="1743"/>
      <c r="B829" s="1744"/>
      <c r="C829" s="1743"/>
      <c r="D829" s="1736"/>
      <c r="E829" s="1736"/>
      <c r="F829" s="1737"/>
      <c r="G829" s="1736"/>
      <c r="H829" s="1733"/>
      <c r="I829" s="1733"/>
      <c r="J829" s="2327"/>
      <c r="K829" s="1734"/>
      <c r="L829" s="1446"/>
    </row>
    <row r="830" spans="1:14" x14ac:dyDescent="0.2">
      <c r="A830" s="1743"/>
      <c r="B830" s="1743"/>
      <c r="C830" s="1743"/>
      <c r="D830" s="1736"/>
      <c r="E830" s="1736"/>
      <c r="F830" s="1737"/>
      <c r="G830" s="1736"/>
      <c r="H830" s="1733"/>
      <c r="I830" s="1733"/>
      <c r="J830" s="2327"/>
      <c r="K830" s="1734"/>
      <c r="L830" s="1446"/>
    </row>
    <row r="831" spans="1:14" x14ac:dyDescent="0.2">
      <c r="A831" s="1745"/>
      <c r="B831" s="1730"/>
      <c r="C831" s="1735"/>
      <c r="D831" s="1736"/>
      <c r="E831" s="1736"/>
      <c r="F831" s="1737"/>
      <c r="G831" s="1736"/>
      <c r="H831" s="1733"/>
      <c r="I831" s="1733"/>
      <c r="J831" s="2327"/>
      <c r="K831" s="1734"/>
      <c r="L831" s="1446"/>
    </row>
    <row r="832" spans="1:14" x14ac:dyDescent="0.2">
      <c r="A832" s="1743"/>
      <c r="B832" s="1743"/>
      <c r="C832" s="1743"/>
      <c r="D832" s="1736"/>
      <c r="E832" s="1736"/>
      <c r="F832" s="1737"/>
      <c r="G832" s="1736"/>
      <c r="H832" s="1733"/>
      <c r="I832" s="1733"/>
      <c r="J832" s="2327"/>
      <c r="K832" s="1734"/>
      <c r="L832" s="1446"/>
    </row>
    <row r="833" spans="1:12" x14ac:dyDescent="0.2">
      <c r="A833" s="1743"/>
      <c r="B833" s="1743"/>
      <c r="C833" s="1743"/>
      <c r="D833" s="1736"/>
      <c r="E833" s="1736"/>
      <c r="F833" s="1737"/>
      <c r="G833" s="1736"/>
      <c r="H833" s="1733"/>
      <c r="I833" s="1733"/>
      <c r="J833" s="2327"/>
      <c r="K833" s="1734"/>
      <c r="L833" s="1446"/>
    </row>
    <row r="834" spans="1:12" x14ac:dyDescent="0.2">
      <c r="A834" s="1743"/>
      <c r="B834" s="1743"/>
      <c r="C834" s="1743"/>
      <c r="D834" s="1736"/>
      <c r="E834" s="1736"/>
      <c r="F834" s="1737"/>
      <c r="G834" s="1736"/>
      <c r="H834" s="1733"/>
      <c r="I834" s="1733"/>
      <c r="J834" s="2327"/>
      <c r="K834" s="1734"/>
      <c r="L834" s="1446"/>
    </row>
    <row r="835" spans="1:12" x14ac:dyDescent="0.2">
      <c r="A835" s="1743"/>
      <c r="B835" s="1743"/>
      <c r="C835" s="1743"/>
      <c r="D835" s="1736"/>
      <c r="E835" s="1736"/>
      <c r="F835" s="1737"/>
      <c r="G835" s="1736"/>
      <c r="H835" s="1733"/>
      <c r="I835" s="1733"/>
      <c r="J835" s="2327"/>
      <c r="K835" s="1734"/>
      <c r="L835" s="1446"/>
    </row>
    <row r="836" spans="1:12" x14ac:dyDescent="0.2">
      <c r="A836" s="3758"/>
      <c r="B836" s="3758"/>
      <c r="C836" s="1742"/>
      <c r="D836" s="1736"/>
      <c r="E836" s="1736"/>
      <c r="F836" s="1737"/>
      <c r="G836" s="1736"/>
      <c r="H836" s="1746"/>
      <c r="I836" s="1746"/>
      <c r="J836" s="2328"/>
      <c r="K836" s="1747"/>
      <c r="L836" s="1715"/>
    </row>
    <row r="837" spans="1:12" x14ac:dyDescent="0.2">
      <c r="A837" s="1743"/>
      <c r="B837" s="1743"/>
      <c r="C837" s="1743"/>
      <c r="D837" s="1736"/>
      <c r="E837" s="1736"/>
      <c r="F837" s="1737"/>
      <c r="G837" s="1736"/>
      <c r="H837" s="1733"/>
      <c r="I837" s="1733"/>
      <c r="J837" s="2327"/>
      <c r="K837" s="1734"/>
      <c r="L837" s="1446"/>
    </row>
    <row r="838" spans="1:12" x14ac:dyDescent="0.2">
      <c r="A838" s="3758"/>
      <c r="B838" s="3758"/>
      <c r="C838" s="1742"/>
      <c r="D838" s="1736"/>
      <c r="E838" s="1736"/>
      <c r="F838" s="1737"/>
      <c r="G838" s="1736"/>
      <c r="H838" s="1740"/>
      <c r="I838" s="1740"/>
      <c r="J838" s="2326"/>
      <c r="K838" s="1729"/>
      <c r="L838" s="1714"/>
    </row>
    <row r="839" spans="1:12" x14ac:dyDescent="0.2">
      <c r="A839" s="1743"/>
      <c r="B839" s="1743"/>
      <c r="C839" s="1743"/>
      <c r="D839" s="1736"/>
      <c r="E839" s="1736"/>
      <c r="F839" s="1737"/>
      <c r="G839" s="1736"/>
      <c r="H839" s="1733"/>
      <c r="I839" s="1733"/>
      <c r="J839" s="2327"/>
      <c r="K839" s="1734"/>
      <c r="L839" s="1446"/>
    </row>
    <row r="840" spans="1:12" x14ac:dyDescent="0.2">
      <c r="A840" s="1743"/>
      <c r="B840" s="1743"/>
      <c r="C840" s="1743"/>
      <c r="D840" s="1736"/>
      <c r="E840" s="1736"/>
      <c r="F840" s="1737"/>
      <c r="G840" s="1736"/>
      <c r="H840" s="1733"/>
      <c r="I840" s="1733"/>
      <c r="J840" s="2327"/>
      <c r="K840" s="1734"/>
      <c r="L840" s="1446"/>
    </row>
    <row r="841" spans="1:12" x14ac:dyDescent="0.2">
      <c r="A841" s="1743"/>
      <c r="B841" s="1743"/>
      <c r="C841" s="1743"/>
      <c r="D841" s="1736"/>
      <c r="E841" s="1736"/>
      <c r="F841" s="1737"/>
      <c r="G841" s="1736"/>
      <c r="H841" s="1733"/>
      <c r="I841" s="1733"/>
      <c r="J841" s="2327"/>
      <c r="K841" s="1734"/>
      <c r="L841" s="1446"/>
    </row>
    <row r="842" spans="1:12" x14ac:dyDescent="0.2">
      <c r="A842" s="3758"/>
      <c r="B842" s="3758"/>
      <c r="C842" s="1742"/>
      <c r="D842" s="1736"/>
      <c r="E842" s="1736"/>
      <c r="F842" s="1737"/>
      <c r="G842" s="1736"/>
      <c r="H842" s="1740"/>
      <c r="I842" s="1740"/>
      <c r="J842" s="2326"/>
      <c r="K842" s="1729"/>
      <c r="L842" s="1714"/>
    </row>
    <row r="843" spans="1:12" x14ac:dyDescent="0.2">
      <c r="A843" s="1743"/>
      <c r="B843" s="1743"/>
      <c r="C843" s="1743"/>
      <c r="D843" s="1736"/>
      <c r="E843" s="1736"/>
      <c r="F843" s="1737"/>
      <c r="G843" s="1736"/>
      <c r="H843" s="1733"/>
      <c r="I843" s="1733"/>
      <c r="J843" s="2327"/>
      <c r="K843" s="1734"/>
      <c r="L843" s="1446"/>
    </row>
    <row r="844" spans="1:12" x14ac:dyDescent="0.2">
      <c r="A844" s="1743"/>
      <c r="B844" s="1743"/>
      <c r="C844" s="1743"/>
      <c r="D844" s="1736"/>
      <c r="E844" s="1736"/>
      <c r="F844" s="1737"/>
      <c r="G844" s="1736"/>
      <c r="H844" s="1733"/>
      <c r="I844" s="1733"/>
      <c r="J844" s="2327"/>
      <c r="K844" s="1734"/>
      <c r="L844" s="1446"/>
    </row>
    <row r="845" spans="1:12" x14ac:dyDescent="0.2">
      <c r="A845" s="1743"/>
      <c r="B845" s="1743"/>
      <c r="C845" s="1743"/>
      <c r="D845" s="1736"/>
      <c r="E845" s="1736"/>
      <c r="F845" s="1737"/>
      <c r="G845" s="1736"/>
      <c r="H845" s="1733"/>
      <c r="I845" s="1733"/>
      <c r="J845" s="2327"/>
      <c r="K845" s="1734"/>
      <c r="L845" s="1446"/>
    </row>
    <row r="846" spans="1:12" x14ac:dyDescent="0.2">
      <c r="A846" s="1743"/>
      <c r="B846" s="1743"/>
      <c r="C846" s="1743"/>
      <c r="D846" s="1736"/>
      <c r="E846" s="1736"/>
      <c r="F846" s="1737"/>
      <c r="G846" s="1736"/>
      <c r="H846" s="1733"/>
      <c r="I846" s="1733"/>
      <c r="J846" s="2327"/>
      <c r="K846" s="1734"/>
      <c r="L846" s="1446"/>
    </row>
    <row r="847" spans="1:12" x14ac:dyDescent="0.2">
      <c r="A847" s="1743"/>
      <c r="B847" s="1743"/>
      <c r="C847" s="1743"/>
      <c r="D847" s="1736"/>
      <c r="E847" s="1736"/>
      <c r="F847" s="1737"/>
      <c r="G847" s="1736"/>
      <c r="H847" s="1733"/>
      <c r="I847" s="1733"/>
      <c r="J847" s="2327"/>
      <c r="K847" s="1734"/>
      <c r="L847" s="1446"/>
    </row>
    <row r="848" spans="1:12" x14ac:dyDescent="0.2">
      <c r="A848" s="1743"/>
      <c r="B848" s="1743"/>
      <c r="C848" s="1743"/>
      <c r="D848" s="1736"/>
      <c r="E848" s="1736"/>
      <c r="F848" s="1737"/>
      <c r="G848" s="1736"/>
      <c r="H848" s="1733"/>
      <c r="I848" s="1733"/>
      <c r="J848" s="2327"/>
      <c r="K848" s="1734"/>
      <c r="L848" s="1446"/>
    </row>
    <row r="849" spans="1:12" x14ac:dyDescent="0.2">
      <c r="A849" s="1743"/>
      <c r="B849" s="1743"/>
      <c r="C849" s="1743"/>
      <c r="D849" s="1736"/>
      <c r="E849" s="1736"/>
      <c r="F849" s="1737"/>
      <c r="G849" s="1736"/>
      <c r="H849" s="1733"/>
      <c r="I849" s="1733"/>
      <c r="J849" s="2327"/>
      <c r="K849" s="1734"/>
      <c r="L849" s="1446"/>
    </row>
    <row r="850" spans="1:12" x14ac:dyDescent="0.2">
      <c r="A850" s="1743"/>
      <c r="B850" s="1743"/>
      <c r="C850" s="1743"/>
      <c r="D850" s="1736"/>
      <c r="E850" s="1736"/>
      <c r="F850" s="1737"/>
      <c r="G850" s="1736"/>
      <c r="H850" s="1733"/>
      <c r="I850" s="1733"/>
      <c r="J850" s="2327"/>
      <c r="K850" s="1734"/>
      <c r="L850" s="1446"/>
    </row>
    <row r="851" spans="1:12" x14ac:dyDescent="0.2">
      <c r="A851" s="3758"/>
      <c r="B851" s="3758"/>
      <c r="C851" s="1742"/>
      <c r="D851" s="1736"/>
      <c r="E851" s="1736"/>
      <c r="F851" s="1737"/>
      <c r="G851" s="1736"/>
      <c r="H851" s="1746"/>
      <c r="I851" s="1746"/>
      <c r="J851" s="2328"/>
      <c r="K851" s="1747"/>
      <c r="L851" s="1715"/>
    </row>
    <row r="852" spans="1:12" x14ac:dyDescent="0.2">
      <c r="A852" s="1748"/>
      <c r="B852" s="1742"/>
      <c r="C852" s="1735"/>
      <c r="D852" s="1736"/>
      <c r="E852" s="1736"/>
      <c r="F852" s="1749"/>
      <c r="G852" s="1736"/>
      <c r="H852" s="1750"/>
      <c r="I852" s="1750"/>
      <c r="J852" s="2328"/>
      <c r="K852" s="1751"/>
      <c r="L852" s="1694"/>
    </row>
    <row r="853" spans="1:12" x14ac:dyDescent="0.2">
      <c r="A853" s="1748"/>
      <c r="B853" s="1742"/>
      <c r="C853" s="1735"/>
      <c r="D853" s="1736"/>
      <c r="E853" s="1736"/>
      <c r="F853" s="1749"/>
      <c r="G853" s="1736"/>
      <c r="H853" s="1750"/>
      <c r="I853" s="1750"/>
      <c r="J853" s="2328"/>
      <c r="K853" s="1751"/>
      <c r="L853" s="1694"/>
    </row>
    <row r="854" spans="1:12" x14ac:dyDescent="0.2">
      <c r="A854" s="1748"/>
      <c r="B854" s="1742"/>
      <c r="C854" s="1735"/>
      <c r="D854" s="1736"/>
      <c r="E854" s="1736"/>
      <c r="F854" s="1749"/>
      <c r="G854" s="1736"/>
      <c r="H854" s="1750"/>
      <c r="I854" s="1750"/>
      <c r="J854" s="2328"/>
      <c r="K854" s="1751"/>
      <c r="L854" s="1694"/>
    </row>
    <row r="855" spans="1:12" x14ac:dyDescent="0.2">
      <c r="A855" s="1748"/>
      <c r="B855" s="1742"/>
      <c r="C855" s="1735"/>
      <c r="D855" s="1736"/>
      <c r="E855" s="1736"/>
      <c r="F855" s="1749"/>
      <c r="G855" s="1736"/>
      <c r="H855" s="1752"/>
      <c r="I855" s="1752"/>
      <c r="J855" s="2327"/>
      <c r="K855" s="1753"/>
      <c r="L855" s="1716"/>
    </row>
    <row r="856" spans="1:12" x14ac:dyDescent="0.2">
      <c r="A856" s="1748"/>
      <c r="B856" s="1742"/>
      <c r="C856" s="1735"/>
      <c r="D856" s="1736"/>
      <c r="E856" s="1736"/>
      <c r="F856" s="1749"/>
      <c r="G856" s="1736"/>
      <c r="H856" s="1752"/>
      <c r="I856" s="1752"/>
      <c r="J856" s="2327"/>
      <c r="K856" s="1753"/>
      <c r="L856" s="1716"/>
    </row>
    <row r="857" spans="1:12" x14ac:dyDescent="0.2">
      <c r="A857" s="1748"/>
      <c r="B857" s="1742"/>
      <c r="C857" s="1735"/>
      <c r="D857" s="1736"/>
      <c r="E857" s="1736"/>
      <c r="F857" s="1749"/>
      <c r="G857" s="1736"/>
      <c r="H857" s="1752"/>
      <c r="I857" s="1752"/>
      <c r="J857" s="2327"/>
      <c r="K857" s="1753"/>
      <c r="L857" s="1716"/>
    </row>
    <row r="858" spans="1:12" x14ac:dyDescent="0.2">
      <c r="A858" s="1748"/>
      <c r="B858" s="1742"/>
      <c r="C858" s="1735"/>
      <c r="D858" s="1736"/>
      <c r="E858" s="1736"/>
      <c r="F858" s="1749"/>
      <c r="G858" s="1736"/>
      <c r="H858" s="1750"/>
      <c r="I858" s="1750"/>
      <c r="J858" s="2328"/>
      <c r="K858" s="1751"/>
      <c r="L858" s="1694"/>
    </row>
    <row r="859" spans="1:12" x14ac:dyDescent="0.2">
      <c r="A859" s="1748"/>
      <c r="B859" s="1742"/>
      <c r="C859" s="1735"/>
      <c r="D859" s="1736"/>
      <c r="E859" s="1736"/>
      <c r="F859" s="1749"/>
      <c r="G859" s="1736"/>
      <c r="H859" s="1752"/>
      <c r="I859" s="1752"/>
      <c r="J859" s="2327"/>
      <c r="K859" s="1753"/>
      <c r="L859" s="1716"/>
    </row>
    <row r="860" spans="1:12" x14ac:dyDescent="0.2">
      <c r="A860" s="1748"/>
      <c r="B860" s="1742"/>
      <c r="C860" s="1735"/>
      <c r="D860" s="1736"/>
      <c r="E860" s="1736"/>
      <c r="F860" s="1749"/>
      <c r="G860" s="1736"/>
      <c r="H860" s="1752"/>
      <c r="I860" s="1752"/>
      <c r="J860" s="2327"/>
      <c r="K860" s="1753"/>
      <c r="L860" s="1716"/>
    </row>
    <row r="861" spans="1:12" x14ac:dyDescent="0.2">
      <c r="A861" s="1748"/>
      <c r="B861" s="1742"/>
      <c r="C861" s="1735"/>
      <c r="D861" s="1736"/>
      <c r="E861" s="1736"/>
      <c r="F861" s="1749"/>
      <c r="G861" s="1736"/>
      <c r="H861" s="1752"/>
      <c r="I861" s="1752"/>
      <c r="J861" s="2327"/>
      <c r="K861" s="1753"/>
      <c r="L861" s="1716"/>
    </row>
    <row r="862" spans="1:12" x14ac:dyDescent="0.2">
      <c r="A862" s="1748"/>
      <c r="B862" s="1742"/>
      <c r="C862" s="1735"/>
      <c r="D862" s="1736"/>
      <c r="E862" s="1736"/>
      <c r="F862" s="1749"/>
      <c r="G862" s="1736"/>
      <c r="H862" s="1752"/>
      <c r="I862" s="1752"/>
      <c r="J862" s="2327"/>
      <c r="K862" s="1753"/>
      <c r="L862" s="1716"/>
    </row>
    <row r="863" spans="1:12" x14ac:dyDescent="0.2">
      <c r="A863" s="1748"/>
      <c r="B863" s="1742"/>
      <c r="C863" s="1735"/>
      <c r="D863" s="1736"/>
      <c r="E863" s="1736"/>
      <c r="F863" s="1749"/>
      <c r="G863" s="1736"/>
      <c r="H863" s="1750"/>
      <c r="I863" s="1750"/>
      <c r="J863" s="2328"/>
      <c r="K863" s="1751"/>
      <c r="L863" s="1694"/>
    </row>
    <row r="864" spans="1:12" x14ac:dyDescent="0.2">
      <c r="A864" s="1748"/>
      <c r="B864" s="1742"/>
      <c r="C864" s="1735"/>
      <c r="D864" s="1736"/>
      <c r="E864" s="1736"/>
      <c r="F864" s="1749"/>
      <c r="G864" s="1736"/>
      <c r="H864" s="1750"/>
      <c r="I864" s="1750"/>
      <c r="J864" s="2328"/>
      <c r="K864" s="1751"/>
      <c r="L864" s="1694"/>
    </row>
    <row r="865" spans="1:12" x14ac:dyDescent="0.2">
      <c r="A865" s="1748"/>
      <c r="B865" s="1742"/>
      <c r="C865" s="1735"/>
      <c r="D865" s="1736"/>
      <c r="E865" s="1736"/>
      <c r="F865" s="1749"/>
      <c r="G865" s="1736"/>
      <c r="H865" s="1752"/>
      <c r="I865" s="1752"/>
      <c r="J865" s="2327"/>
      <c r="K865" s="1753"/>
      <c r="L865" s="1716"/>
    </row>
    <row r="866" spans="1:12" x14ac:dyDescent="0.2">
      <c r="A866" s="1748"/>
      <c r="B866" s="1742"/>
      <c r="C866" s="1735"/>
      <c r="D866" s="1736"/>
      <c r="E866" s="1736"/>
      <c r="F866" s="1737"/>
      <c r="G866" s="1736"/>
      <c r="H866" s="1752"/>
      <c r="I866" s="1752"/>
      <c r="J866" s="2327"/>
      <c r="K866" s="1753"/>
      <c r="L866" s="1716"/>
    </row>
    <row r="867" spans="1:12" x14ac:dyDescent="0.2">
      <c r="A867" s="1748"/>
      <c r="B867" s="1742"/>
      <c r="C867" s="1735"/>
      <c r="D867" s="1736"/>
      <c r="E867" s="1736"/>
      <c r="F867" s="1737"/>
      <c r="G867" s="1736"/>
      <c r="H867" s="1752"/>
      <c r="I867" s="1752"/>
      <c r="J867" s="2327"/>
      <c r="K867" s="1753"/>
      <c r="L867" s="1716"/>
    </row>
    <row r="868" spans="1:12" x14ac:dyDescent="0.2">
      <c r="A868" s="1722"/>
      <c r="B868" s="1722"/>
      <c r="C868" s="1722"/>
      <c r="D868" s="1724"/>
      <c r="E868" s="1724"/>
      <c r="F868" s="1724"/>
      <c r="G868" s="1724"/>
      <c r="H868" s="1724"/>
      <c r="I868" s="1724"/>
      <c r="J868" s="2326"/>
      <c r="K868" s="1724"/>
      <c r="L868" s="1713"/>
    </row>
    <row r="869" spans="1:12" x14ac:dyDescent="0.2">
      <c r="A869" s="3760"/>
      <c r="B869" s="3760"/>
      <c r="C869" s="1739"/>
      <c r="D869" s="1754"/>
      <c r="E869" s="1754"/>
      <c r="F869" s="1754"/>
      <c r="G869" s="1754"/>
      <c r="H869" s="1746"/>
      <c r="I869" s="1746"/>
      <c r="J869" s="2328"/>
      <c r="K869" s="1747"/>
      <c r="L869" s="1715"/>
    </row>
    <row r="870" spans="1:12" x14ac:dyDescent="0.2">
      <c r="A870" s="3759"/>
      <c r="B870" s="1730"/>
      <c r="C870" s="1731"/>
      <c r="D870" s="1754"/>
      <c r="E870" s="1754"/>
      <c r="F870" s="1754"/>
      <c r="G870" s="1754"/>
      <c r="H870" s="1733"/>
      <c r="I870" s="1733"/>
      <c r="J870" s="2327"/>
      <c r="K870" s="1734"/>
      <c r="L870" s="1446"/>
    </row>
    <row r="871" spans="1:12" x14ac:dyDescent="0.2">
      <c r="A871" s="3759"/>
      <c r="B871" s="1730"/>
      <c r="C871" s="1735"/>
      <c r="D871" s="1732"/>
      <c r="E871" s="1732"/>
      <c r="F871" s="1732"/>
      <c r="G871" s="1732"/>
      <c r="H871" s="1733"/>
      <c r="I871" s="1733"/>
      <c r="J871" s="2327"/>
      <c r="K871" s="1734"/>
      <c r="L871" s="1446"/>
    </row>
    <row r="872" spans="1:12" x14ac:dyDescent="0.2">
      <c r="A872" s="3759"/>
      <c r="B872" s="1730"/>
      <c r="C872" s="1731"/>
      <c r="D872" s="1736"/>
      <c r="E872" s="1736"/>
      <c r="F872" s="1736"/>
      <c r="G872" s="1736"/>
      <c r="H872" s="1733"/>
      <c r="I872" s="1733"/>
      <c r="J872" s="2327"/>
      <c r="K872" s="1734"/>
      <c r="L872" s="1446"/>
    </row>
    <row r="873" spans="1:12" x14ac:dyDescent="0.2">
      <c r="A873" s="3759"/>
      <c r="B873" s="1730"/>
      <c r="C873" s="1735"/>
      <c r="D873" s="1736"/>
      <c r="E873" s="1736"/>
      <c r="F873" s="1736"/>
      <c r="G873" s="1736"/>
      <c r="H873" s="1733"/>
      <c r="I873" s="1733"/>
      <c r="J873" s="2327"/>
      <c r="K873" s="1734"/>
      <c r="L873" s="1446"/>
    </row>
    <row r="874" spans="1:12" x14ac:dyDescent="0.2">
      <c r="A874" s="3759"/>
      <c r="B874" s="1730"/>
      <c r="C874" s="1731"/>
      <c r="D874" s="1710"/>
      <c r="E874" s="1710"/>
      <c r="F874" s="1710"/>
      <c r="G874" s="1710"/>
      <c r="H874" s="1733"/>
      <c r="I874" s="1733"/>
      <c r="J874" s="2327"/>
      <c r="K874" s="1734"/>
      <c r="L874" s="581"/>
    </row>
    <row r="875" spans="1:12" x14ac:dyDescent="0.2">
      <c r="A875" s="3759"/>
      <c r="B875" s="1730"/>
      <c r="C875" s="1735"/>
      <c r="D875" s="1710"/>
      <c r="E875" s="1710"/>
      <c r="F875" s="1710"/>
      <c r="G875" s="1710"/>
      <c r="H875" s="1733"/>
      <c r="I875" s="1733"/>
      <c r="J875" s="2327"/>
      <c r="K875" s="1734"/>
      <c r="L875" s="581"/>
    </row>
    <row r="876" spans="1:12" x14ac:dyDescent="0.2">
      <c r="A876" s="3759"/>
      <c r="B876" s="1730"/>
      <c r="C876" s="1731"/>
      <c r="D876" s="1710"/>
      <c r="E876" s="1710"/>
      <c r="F876" s="1710"/>
      <c r="G876" s="1710"/>
      <c r="H876" s="1733"/>
      <c r="I876" s="1733"/>
      <c r="J876" s="2327"/>
      <c r="K876" s="1734"/>
      <c r="L876" s="581"/>
    </row>
    <row r="877" spans="1:12" x14ac:dyDescent="0.2">
      <c r="A877" s="3759"/>
      <c r="B877" s="1730"/>
      <c r="C877" s="1735"/>
      <c r="D877" s="1710"/>
      <c r="E877" s="1710"/>
      <c r="F877" s="1755"/>
      <c r="G877" s="1755"/>
      <c r="H877" s="1756"/>
      <c r="I877" s="1756"/>
      <c r="J877" s="2327"/>
      <c r="K877" s="1757"/>
      <c r="L877" s="1717"/>
    </row>
    <row r="878" spans="1:12" x14ac:dyDescent="0.2">
      <c r="A878" s="1738"/>
      <c r="B878" s="1738"/>
      <c r="C878" s="1739"/>
      <c r="D878" s="1710"/>
      <c r="E878" s="1710"/>
      <c r="F878" s="1710"/>
      <c r="G878" s="1710"/>
      <c r="H878" s="1746"/>
      <c r="I878" s="1746"/>
      <c r="J878" s="2328"/>
      <c r="K878" s="1747"/>
      <c r="L878" s="1718"/>
    </row>
    <row r="879" spans="1:12" x14ac:dyDescent="0.2">
      <c r="A879" s="3760"/>
      <c r="B879" s="3760"/>
      <c r="C879" s="1739"/>
      <c r="D879" s="1710"/>
      <c r="E879" s="1710"/>
      <c r="F879" s="1710"/>
      <c r="G879" s="1710"/>
      <c r="H879" s="1746"/>
      <c r="I879" s="1746"/>
      <c r="J879" s="2328"/>
      <c r="K879" s="1747"/>
      <c r="L879" s="1718"/>
    </row>
    <row r="880" spans="1:12" x14ac:dyDescent="0.2">
      <c r="A880" s="3761"/>
      <c r="B880" s="3761"/>
      <c r="C880" s="1725"/>
      <c r="D880" s="1710"/>
      <c r="E880" s="1710"/>
      <c r="F880" s="1710"/>
      <c r="G880" s="1710"/>
      <c r="H880" s="1746"/>
      <c r="I880" s="1746"/>
      <c r="J880" s="2328"/>
      <c r="K880" s="1747"/>
      <c r="L880" s="1718"/>
    </row>
    <row r="881" spans="1:12" x14ac:dyDescent="0.2">
      <c r="A881" s="1743"/>
      <c r="B881" s="1743"/>
      <c r="C881" s="1743"/>
      <c r="D881" s="1710"/>
      <c r="E881" s="1710"/>
      <c r="F881" s="1710"/>
      <c r="G881" s="1710"/>
      <c r="H881" s="1758"/>
      <c r="I881" s="1758"/>
      <c r="J881" s="2327"/>
      <c r="K881" s="1710"/>
      <c r="L881" s="1707"/>
    </row>
    <row r="882" spans="1:12" x14ac:dyDescent="0.2">
      <c r="A882" s="1743"/>
      <c r="B882" s="1744"/>
      <c r="C882" s="1743"/>
      <c r="D882" s="1710"/>
      <c r="E882" s="1710"/>
      <c r="F882" s="1710"/>
      <c r="G882" s="1710"/>
      <c r="H882" s="1758"/>
      <c r="I882" s="1758"/>
      <c r="J882" s="2327"/>
      <c r="K882" s="1710"/>
      <c r="L882" s="1707"/>
    </row>
    <row r="883" spans="1:12" x14ac:dyDescent="0.2">
      <c r="A883" s="1743"/>
      <c r="B883" s="1744"/>
      <c r="C883" s="1743"/>
      <c r="D883" s="1710"/>
      <c r="E883" s="1710"/>
      <c r="F883" s="1710"/>
      <c r="G883" s="1710"/>
      <c r="H883" s="1758"/>
      <c r="I883" s="1758"/>
      <c r="J883" s="2327"/>
      <c r="K883" s="1710"/>
      <c r="L883" s="1707"/>
    </row>
    <row r="884" spans="1:12" x14ac:dyDescent="0.2">
      <c r="A884" s="1743"/>
      <c r="B884" s="1743"/>
      <c r="C884" s="1743"/>
      <c r="D884" s="1710"/>
      <c r="E884" s="1710"/>
      <c r="F884" s="1710"/>
      <c r="G884" s="1710"/>
      <c r="H884" s="1756"/>
      <c r="I884" s="1756"/>
      <c r="J884" s="2327"/>
      <c r="K884" s="1757"/>
      <c r="L884" s="1717"/>
    </row>
    <row r="885" spans="1:12" x14ac:dyDescent="0.2">
      <c r="A885" s="1743"/>
      <c r="B885" s="1743"/>
      <c r="C885" s="1743"/>
      <c r="D885" s="1710"/>
      <c r="E885" s="1710"/>
      <c r="F885" s="1710"/>
      <c r="G885" s="1710"/>
      <c r="H885" s="1756"/>
      <c r="I885" s="1756"/>
      <c r="J885" s="2327"/>
      <c r="K885" s="1757"/>
      <c r="L885" s="1717"/>
    </row>
    <row r="886" spans="1:12" x14ac:dyDescent="0.2">
      <c r="A886" s="1743"/>
      <c r="B886" s="1743"/>
      <c r="C886" s="1743"/>
      <c r="D886" s="1710"/>
      <c r="E886" s="1710"/>
      <c r="F886" s="1710"/>
      <c r="G886" s="1710"/>
      <c r="H886" s="1756"/>
      <c r="I886" s="1756"/>
      <c r="J886" s="2327"/>
      <c r="K886" s="1757"/>
      <c r="L886" s="1717"/>
    </row>
    <row r="887" spans="1:12" x14ac:dyDescent="0.2">
      <c r="A887" s="1743"/>
      <c r="B887" s="1743"/>
      <c r="C887" s="1743"/>
      <c r="D887" s="1710"/>
      <c r="E887" s="1710"/>
      <c r="F887" s="1710"/>
      <c r="G887" s="1710"/>
      <c r="H887" s="1756"/>
      <c r="I887" s="1756"/>
      <c r="J887" s="2327"/>
      <c r="K887" s="1757"/>
      <c r="L887" s="1717"/>
    </row>
    <row r="888" spans="1:12" x14ac:dyDescent="0.2">
      <c r="A888" s="1743"/>
      <c r="B888" s="1743"/>
      <c r="C888" s="1743"/>
      <c r="D888" s="1710"/>
      <c r="E888" s="1710"/>
      <c r="F888" s="1710"/>
      <c r="G888" s="1710"/>
      <c r="H888" s="1756"/>
      <c r="I888" s="1756"/>
      <c r="J888" s="2327"/>
      <c r="K888" s="1757"/>
      <c r="L888" s="1717"/>
    </row>
    <row r="889" spans="1:12" x14ac:dyDescent="0.2">
      <c r="A889" s="1743"/>
      <c r="B889" s="1743"/>
      <c r="C889" s="1743"/>
      <c r="D889" s="1710"/>
      <c r="E889" s="1710"/>
      <c r="F889" s="1710"/>
      <c r="G889" s="1710"/>
      <c r="H889" s="1756"/>
      <c r="I889" s="1756"/>
      <c r="J889" s="2327"/>
      <c r="K889" s="1757"/>
      <c r="L889" s="1717"/>
    </row>
    <row r="890" spans="1:12" x14ac:dyDescent="0.2">
      <c r="A890" s="3758"/>
      <c r="B890" s="3758"/>
      <c r="C890" s="1742"/>
      <c r="D890" s="1710"/>
      <c r="E890" s="1710"/>
      <c r="F890" s="1710"/>
      <c r="G890" s="1710"/>
      <c r="H890" s="1746"/>
      <c r="I890" s="1746"/>
      <c r="J890" s="2328"/>
      <c r="K890" s="1747"/>
      <c r="L890" s="1718"/>
    </row>
    <row r="891" spans="1:12" x14ac:dyDescent="0.2">
      <c r="A891" s="1743"/>
      <c r="B891" s="1743"/>
      <c r="C891" s="1743"/>
      <c r="D891" s="1710"/>
      <c r="E891" s="1710"/>
      <c r="F891" s="1710"/>
      <c r="G891" s="1710"/>
      <c r="H891" s="1756"/>
      <c r="I891" s="1756"/>
      <c r="J891" s="2327"/>
      <c r="K891" s="1757"/>
      <c r="L891" s="1717"/>
    </row>
    <row r="892" spans="1:12" x14ac:dyDescent="0.2">
      <c r="A892" s="3758"/>
      <c r="B892" s="3758"/>
      <c r="C892" s="1742"/>
      <c r="D892" s="1710"/>
      <c r="E892" s="1710"/>
      <c r="F892" s="1710"/>
      <c r="G892" s="1710"/>
      <c r="H892" s="1746"/>
      <c r="I892" s="1746"/>
      <c r="J892" s="2328"/>
      <c r="K892" s="1747"/>
      <c r="L892" s="1718"/>
    </row>
    <row r="893" spans="1:12" x14ac:dyDescent="0.2">
      <c r="A893" s="1743"/>
      <c r="B893" s="1743"/>
      <c r="C893" s="1743"/>
      <c r="D893" s="1710"/>
      <c r="E893" s="1710"/>
      <c r="F893" s="1710"/>
      <c r="G893" s="1710"/>
      <c r="H893" s="1756"/>
      <c r="I893" s="1756"/>
      <c r="J893" s="2327"/>
      <c r="K893" s="1757"/>
      <c r="L893" s="1717"/>
    </row>
    <row r="894" spans="1:12" x14ac:dyDescent="0.2">
      <c r="A894" s="1743"/>
      <c r="B894" s="1743"/>
      <c r="C894" s="1743"/>
      <c r="D894" s="1710"/>
      <c r="E894" s="1710"/>
      <c r="F894" s="1710"/>
      <c r="G894" s="1710"/>
      <c r="H894" s="1756"/>
      <c r="I894" s="1756"/>
      <c r="J894" s="2327"/>
      <c r="K894" s="1757"/>
      <c r="L894" s="1717"/>
    </row>
    <row r="895" spans="1:12" x14ac:dyDescent="0.2">
      <c r="A895" s="1743"/>
      <c r="B895" s="1743"/>
      <c r="C895" s="1743"/>
      <c r="D895" s="1710"/>
      <c r="E895" s="1710"/>
      <c r="F895" s="1710"/>
      <c r="G895" s="1710"/>
      <c r="H895" s="1756"/>
      <c r="I895" s="1756"/>
      <c r="J895" s="2327"/>
      <c r="K895" s="1757"/>
      <c r="L895" s="1717"/>
    </row>
    <row r="896" spans="1:12" x14ac:dyDescent="0.2">
      <c r="A896" s="3758"/>
      <c r="B896" s="3758"/>
      <c r="C896" s="1742"/>
      <c r="D896" s="1710"/>
      <c r="E896" s="1710"/>
      <c r="F896" s="1710"/>
      <c r="G896" s="1710"/>
      <c r="H896" s="1746"/>
      <c r="I896" s="1746"/>
      <c r="J896" s="2328"/>
      <c r="K896" s="1747"/>
      <c r="L896" s="1718"/>
    </row>
    <row r="897" spans="1:12" x14ac:dyDescent="0.2">
      <c r="A897" s="1743"/>
      <c r="B897" s="1743"/>
      <c r="C897" s="1743"/>
      <c r="D897" s="1710"/>
      <c r="E897" s="1710"/>
      <c r="F897" s="1710"/>
      <c r="G897" s="1710"/>
      <c r="H897" s="1756"/>
      <c r="I897" s="1756"/>
      <c r="J897" s="2327"/>
      <c r="K897" s="1757"/>
      <c r="L897" s="1717"/>
    </row>
    <row r="898" spans="1:12" x14ac:dyDescent="0.2">
      <c r="A898" s="1743"/>
      <c r="B898" s="1743"/>
      <c r="C898" s="1743"/>
      <c r="D898" s="1710"/>
      <c r="E898" s="1710"/>
      <c r="F898" s="1710"/>
      <c r="G898" s="1710"/>
      <c r="H898" s="1756"/>
      <c r="I898" s="1756"/>
      <c r="J898" s="2327"/>
      <c r="K898" s="1757"/>
      <c r="L898" s="1717"/>
    </row>
    <row r="899" spans="1:12" x14ac:dyDescent="0.2">
      <c r="A899" s="1743"/>
      <c r="B899" s="1743"/>
      <c r="C899" s="1743"/>
      <c r="D899" s="1710"/>
      <c r="E899" s="1710"/>
      <c r="F899" s="1710"/>
      <c r="G899" s="1710"/>
      <c r="H899" s="1756"/>
      <c r="I899" s="1756"/>
      <c r="J899" s="2327"/>
      <c r="K899" s="1757"/>
      <c r="L899" s="1717"/>
    </row>
    <row r="900" spans="1:12" x14ac:dyDescent="0.2">
      <c r="A900" s="1743"/>
      <c r="B900" s="1743"/>
      <c r="C900" s="1743"/>
      <c r="D900" s="1710"/>
      <c r="E900" s="1710"/>
      <c r="F900" s="1710"/>
      <c r="G900" s="1710"/>
      <c r="H900" s="1758"/>
      <c r="I900" s="1758"/>
      <c r="J900" s="2327"/>
      <c r="K900" s="1710"/>
      <c r="L900" s="1707"/>
    </row>
    <row r="901" spans="1:12" x14ac:dyDescent="0.2">
      <c r="A901" s="1743"/>
      <c r="B901" s="1743"/>
      <c r="C901" s="1743"/>
      <c r="D901" s="1710"/>
      <c r="E901" s="1710"/>
      <c r="F901" s="1710"/>
      <c r="G901" s="1710"/>
      <c r="H901" s="1756"/>
      <c r="I901" s="1756"/>
      <c r="J901" s="2327"/>
      <c r="K901" s="1757"/>
      <c r="L901" s="1717"/>
    </row>
    <row r="902" spans="1:12" x14ac:dyDescent="0.2">
      <c r="A902" s="1743"/>
      <c r="B902" s="1743"/>
      <c r="C902" s="1743"/>
      <c r="D902" s="1710"/>
      <c r="E902" s="1710"/>
      <c r="F902" s="1710"/>
      <c r="G902" s="1710"/>
      <c r="H902" s="1756"/>
      <c r="I902" s="1756"/>
      <c r="J902" s="2327"/>
      <c r="K902" s="1757"/>
      <c r="L902" s="1717"/>
    </row>
    <row r="903" spans="1:12" x14ac:dyDescent="0.2">
      <c r="A903" s="1743"/>
      <c r="B903" s="1743"/>
      <c r="C903" s="1743"/>
      <c r="D903" s="1710"/>
      <c r="E903" s="1710"/>
      <c r="F903" s="1710"/>
      <c r="G903" s="1710"/>
      <c r="H903" s="1758"/>
      <c r="I903" s="1758"/>
      <c r="J903" s="2327"/>
      <c r="K903" s="1710"/>
      <c r="L903" s="1707"/>
    </row>
    <row r="904" spans="1:12" x14ac:dyDescent="0.2">
      <c r="A904" s="1743"/>
      <c r="B904" s="1743"/>
      <c r="C904" s="1743"/>
      <c r="D904" s="1710"/>
      <c r="E904" s="1710"/>
      <c r="F904" s="1710"/>
      <c r="G904" s="1710"/>
      <c r="H904" s="1758"/>
      <c r="I904" s="1758"/>
      <c r="J904" s="2327"/>
      <c r="K904" s="1710"/>
      <c r="L904" s="1707"/>
    </row>
    <row r="905" spans="1:12" x14ac:dyDescent="0.2">
      <c r="A905" s="3758"/>
      <c r="B905" s="3758"/>
      <c r="C905" s="1742"/>
      <c r="D905" s="1710"/>
      <c r="E905" s="1710"/>
      <c r="F905" s="1710"/>
      <c r="G905" s="1710"/>
      <c r="H905" s="1746"/>
      <c r="I905" s="1746"/>
      <c r="J905" s="2328"/>
      <c r="K905" s="1747"/>
      <c r="L905" s="1718"/>
    </row>
    <row r="906" spans="1:12" x14ac:dyDescent="0.2">
      <c r="A906" s="1748"/>
      <c r="B906" s="1742"/>
      <c r="C906" s="1735"/>
      <c r="D906" s="1710"/>
      <c r="E906" s="1710"/>
      <c r="F906" s="1710"/>
      <c r="G906" s="1710"/>
      <c r="H906" s="1711"/>
      <c r="I906" s="1711"/>
      <c r="J906" s="2328"/>
      <c r="K906" s="1759"/>
      <c r="L906" s="1708"/>
    </row>
    <row r="907" spans="1:12" x14ac:dyDescent="0.2">
      <c r="A907" s="1748"/>
      <c r="B907" s="1742"/>
      <c r="C907" s="1735"/>
      <c r="D907" s="1710"/>
      <c r="E907" s="1710"/>
      <c r="F907" s="1710"/>
      <c r="G907" s="1710"/>
      <c r="H907" s="1711"/>
      <c r="I907" s="1711"/>
      <c r="J907" s="2328"/>
      <c r="K907" s="1759"/>
      <c r="L907" s="1708"/>
    </row>
    <row r="908" spans="1:12" x14ac:dyDescent="0.2">
      <c r="A908" s="1748"/>
      <c r="B908" s="1742"/>
      <c r="C908" s="1735"/>
      <c r="D908" s="1710"/>
      <c r="E908" s="1710"/>
      <c r="F908" s="1710"/>
      <c r="G908" s="1710"/>
      <c r="H908" s="1711"/>
      <c r="I908" s="1711"/>
      <c r="J908" s="2328"/>
      <c r="K908" s="1759"/>
      <c r="L908" s="1708"/>
    </row>
    <row r="909" spans="1:12" x14ac:dyDescent="0.2">
      <c r="A909" s="1748"/>
      <c r="B909" s="1742"/>
      <c r="C909" s="1735"/>
      <c r="D909" s="1710"/>
      <c r="E909" s="1710"/>
      <c r="F909" s="1710"/>
      <c r="G909" s="1710"/>
      <c r="H909" s="1758"/>
      <c r="I909" s="1758"/>
      <c r="J909" s="2327"/>
      <c r="K909" s="1710"/>
      <c r="L909" s="1707"/>
    </row>
    <row r="910" spans="1:12" x14ac:dyDescent="0.2">
      <c r="A910" s="1748"/>
      <c r="B910" s="1742"/>
      <c r="C910" s="1735"/>
      <c r="D910" s="1710"/>
      <c r="E910" s="1710"/>
      <c r="F910" s="1710"/>
      <c r="G910" s="1710"/>
      <c r="H910" s="1711"/>
      <c r="I910" s="1711"/>
      <c r="J910" s="2328"/>
      <c r="K910" s="1759"/>
      <c r="L910" s="1708"/>
    </row>
    <row r="911" spans="1:12" x14ac:dyDescent="0.2">
      <c r="A911" s="1748"/>
      <c r="B911" s="1742"/>
      <c r="C911" s="1735"/>
      <c r="D911" s="1710"/>
      <c r="E911" s="1710"/>
      <c r="F911" s="1710"/>
      <c r="G911" s="1710"/>
      <c r="H911" s="1758"/>
      <c r="I911" s="1758"/>
      <c r="J911" s="2327"/>
      <c r="K911" s="1710"/>
      <c r="L911" s="1707"/>
    </row>
    <row r="912" spans="1:12" x14ac:dyDescent="0.2">
      <c r="A912" s="1748"/>
      <c r="B912" s="1742"/>
      <c r="C912" s="1735"/>
      <c r="D912" s="1710"/>
      <c r="E912" s="1710"/>
      <c r="F912" s="1710"/>
      <c r="G912" s="1710"/>
      <c r="H912" s="1758"/>
      <c r="I912" s="1758"/>
      <c r="J912" s="2327"/>
      <c r="K912" s="1710"/>
      <c r="L912" s="1707"/>
    </row>
    <row r="913" spans="1:12" x14ac:dyDescent="0.2">
      <c r="A913" s="1748"/>
      <c r="B913" s="1742"/>
      <c r="C913" s="1735"/>
      <c r="D913" s="1710"/>
      <c r="E913" s="1710"/>
      <c r="F913" s="1710"/>
      <c r="G913" s="1710"/>
      <c r="H913" s="1758"/>
      <c r="I913" s="1758"/>
      <c r="J913" s="2327"/>
      <c r="K913" s="1710"/>
      <c r="L913" s="1707"/>
    </row>
    <row r="914" spans="1:12" x14ac:dyDescent="0.2">
      <c r="A914" s="1748"/>
      <c r="B914" s="1742"/>
      <c r="C914" s="1735"/>
      <c r="D914" s="1710"/>
      <c r="E914" s="1710"/>
      <c r="F914" s="1710"/>
      <c r="G914" s="1710"/>
      <c r="H914" s="1758"/>
      <c r="I914" s="1758"/>
      <c r="J914" s="2327"/>
      <c r="K914" s="1710"/>
      <c r="L914" s="1707"/>
    </row>
    <row r="915" spans="1:12" x14ac:dyDescent="0.2">
      <c r="A915" s="3758"/>
      <c r="B915" s="3758"/>
      <c r="C915" s="1735"/>
      <c r="D915" s="1710"/>
      <c r="E915" s="1710"/>
      <c r="F915" s="1710"/>
      <c r="G915" s="1710"/>
      <c r="H915" s="1711"/>
      <c r="I915" s="1711"/>
      <c r="J915" s="2328"/>
      <c r="K915" s="1759"/>
      <c r="L915" s="1708"/>
    </row>
    <row r="916" spans="1:12" x14ac:dyDescent="0.2">
      <c r="A916" s="3758"/>
      <c r="B916" s="3758"/>
      <c r="C916" s="1735"/>
      <c r="D916" s="1710"/>
      <c r="E916" s="1710"/>
      <c r="F916" s="1710"/>
      <c r="G916" s="1710"/>
      <c r="H916" s="1711"/>
      <c r="I916" s="1711"/>
      <c r="J916" s="2317"/>
      <c r="K916" s="1759"/>
      <c r="L916" s="1708"/>
    </row>
    <row r="917" spans="1:12" x14ac:dyDescent="0.2">
      <c r="A917" s="3758"/>
      <c r="B917" s="3758"/>
      <c r="C917" s="1735"/>
      <c r="D917" s="1710"/>
      <c r="E917" s="1710"/>
      <c r="F917" s="1710"/>
      <c r="G917" s="1710"/>
      <c r="H917" s="1758"/>
      <c r="I917" s="1758"/>
      <c r="J917" s="2316"/>
      <c r="K917" s="1710"/>
      <c r="L917" s="1707"/>
    </row>
    <row r="918" spans="1:12" x14ac:dyDescent="0.2">
      <c r="A918" s="1760"/>
      <c r="B918" s="1760"/>
      <c r="C918" s="1760"/>
      <c r="D918" s="1760"/>
      <c r="E918" s="1760"/>
      <c r="F918" s="1760"/>
      <c r="G918" s="1761"/>
      <c r="H918" s="1761"/>
      <c r="I918" s="1761"/>
      <c r="K918" s="1761"/>
    </row>
    <row r="919" spans="1:12" x14ac:dyDescent="0.2">
      <c r="A919" s="1760"/>
      <c r="B919" s="1760"/>
      <c r="C919" s="1760"/>
      <c r="D919" s="1760"/>
      <c r="E919" s="1760"/>
      <c r="F919" s="1760"/>
      <c r="G919" s="1761"/>
      <c r="H919" s="1761"/>
      <c r="I919" s="1761"/>
      <c r="K919" s="1761"/>
    </row>
  </sheetData>
  <mergeCells count="89">
    <mergeCell ref="G181:L181"/>
    <mergeCell ref="H231:L231"/>
    <mergeCell ref="A1:L1"/>
    <mergeCell ref="H4:L4"/>
    <mergeCell ref="A5:G5"/>
    <mergeCell ref="K111:L111"/>
    <mergeCell ref="K122:L122"/>
    <mergeCell ref="H276:L276"/>
    <mergeCell ref="A383:C383"/>
    <mergeCell ref="A686:C686"/>
    <mergeCell ref="K293:L293"/>
    <mergeCell ref="G314:L314"/>
    <mergeCell ref="H380:L380"/>
    <mergeCell ref="H583:L583"/>
    <mergeCell ref="A594:B594"/>
    <mergeCell ref="A597:B597"/>
    <mergeCell ref="A595:B595"/>
    <mergeCell ref="A453:B453"/>
    <mergeCell ref="A387:B387"/>
    <mergeCell ref="A576:B576"/>
    <mergeCell ref="A455:B455"/>
    <mergeCell ref="A456:B456"/>
    <mergeCell ref="A504:B504"/>
    <mergeCell ref="A505:A506"/>
    <mergeCell ref="A507:A508"/>
    <mergeCell ref="A418:C418"/>
    <mergeCell ref="A440:A441"/>
    <mergeCell ref="A442:A443"/>
    <mergeCell ref="A444:A445"/>
    <mergeCell ref="A448:A449"/>
    <mergeCell ref="A439:B439"/>
    <mergeCell ref="A446:A447"/>
    <mergeCell ref="A466:B466"/>
    <mergeCell ref="A468:B468"/>
    <mergeCell ref="A472:B472"/>
    <mergeCell ref="A482:B482"/>
    <mergeCell ref="A450:A451"/>
    <mergeCell ref="A543:B543"/>
    <mergeCell ref="A511:A512"/>
    <mergeCell ref="A516:B516"/>
    <mergeCell ref="A517:B517"/>
    <mergeCell ref="A528:B528"/>
    <mergeCell ref="A530:B530"/>
    <mergeCell ref="A534:B534"/>
    <mergeCell ref="A509:A510"/>
    <mergeCell ref="A818:A819"/>
    <mergeCell ref="A611:B611"/>
    <mergeCell ref="A614:B614"/>
    <mergeCell ref="A613:B613"/>
    <mergeCell ref="A612:B612"/>
    <mergeCell ref="A555:B555"/>
    <mergeCell ref="A556:B556"/>
    <mergeCell ref="A557:B557"/>
    <mergeCell ref="A815:B815"/>
    <mergeCell ref="A816:A817"/>
    <mergeCell ref="A604:B604"/>
    <mergeCell ref="A603:B603"/>
    <mergeCell ref="A602:B602"/>
    <mergeCell ref="A601:B601"/>
    <mergeCell ref="A600:B600"/>
    <mergeCell ref="A599:B599"/>
    <mergeCell ref="A610:B610"/>
    <mergeCell ref="A609:B609"/>
    <mergeCell ref="A608:B608"/>
    <mergeCell ref="A607:B607"/>
    <mergeCell ref="A606:B606"/>
    <mergeCell ref="A605:B605"/>
    <mergeCell ref="A874:A875"/>
    <mergeCell ref="A820:A821"/>
    <mergeCell ref="A822:A823"/>
    <mergeCell ref="A825:B825"/>
    <mergeCell ref="A826:B826"/>
    <mergeCell ref="A836:B836"/>
    <mergeCell ref="A838:B838"/>
    <mergeCell ref="A842:B842"/>
    <mergeCell ref="A851:B851"/>
    <mergeCell ref="A869:B869"/>
    <mergeCell ref="A870:A871"/>
    <mergeCell ref="A872:A873"/>
    <mergeCell ref="A905:B905"/>
    <mergeCell ref="A915:B915"/>
    <mergeCell ref="A916:B916"/>
    <mergeCell ref="A917:B917"/>
    <mergeCell ref="A876:A877"/>
    <mergeCell ref="A879:B879"/>
    <mergeCell ref="A880:B880"/>
    <mergeCell ref="A890:B890"/>
    <mergeCell ref="A892:B892"/>
    <mergeCell ref="A896:B896"/>
  </mergeCells>
  <phoneticPr fontId="44" type="noConversion"/>
  <printOptions horizontalCentered="1"/>
  <pageMargins left="0.43307086614173229" right="3.937007874015748E-2" top="0.74803149606299213" bottom="0.74803149606299213" header="0.31496062992125984" footer="0.31496062992125984"/>
  <pageSetup paperSize="9" scale="80" firstPageNumber="0" fitToWidth="0" fitToHeight="0" orientation="landscape" r:id="rId1"/>
  <headerFooter alignWithMargins="0">
    <oddFooter>&amp;CStrana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2"/>
  <sheetViews>
    <sheetView showWhiteSpace="0" topLeftCell="A213" zoomScaleNormal="100" workbookViewId="0">
      <selection activeCell="P213" sqref="P213:P267"/>
    </sheetView>
  </sheetViews>
  <sheetFormatPr defaultColWidth="6.28515625" defaultRowHeight="12.75" x14ac:dyDescent="0.2"/>
  <cols>
    <col min="1" max="2" width="5" style="16" customWidth="1"/>
    <col min="3" max="3" width="32.42578125" style="16" customWidth="1"/>
    <col min="4" max="6" width="0" style="16" hidden="1" customWidth="1"/>
    <col min="7" max="7" width="0" style="17" hidden="1" customWidth="1"/>
    <col min="8" max="9" width="0" style="16" hidden="1" customWidth="1"/>
    <col min="10" max="10" width="10.42578125" style="16" hidden="1" customWidth="1"/>
    <col min="11" max="12" width="9.85546875" style="16" customWidth="1"/>
    <col min="13" max="13" width="9.85546875" style="18" customWidth="1"/>
    <col min="14" max="15" width="11.42578125" style="16" customWidth="1"/>
    <col min="16" max="16" width="13.85546875" style="2838" customWidth="1"/>
    <col min="17" max="17" width="9.85546875" style="16" customWidth="1"/>
    <col min="18" max="18" width="9.85546875" style="19" customWidth="1"/>
    <col min="19" max="19" width="11" style="20" customWidth="1"/>
    <col min="20" max="21" width="10" style="20" customWidth="1"/>
    <col min="22" max="22" width="9.7109375" style="21" customWidth="1"/>
    <col min="23" max="23" width="18.140625" style="16" customWidth="1"/>
    <col min="24" max="16384" width="6.28515625" style="16"/>
  </cols>
  <sheetData>
    <row r="1" spans="1:23" x14ac:dyDescent="0.2">
      <c r="P1" s="2941"/>
    </row>
    <row r="2" spans="1:23" ht="15.75" x14ac:dyDescent="0.25">
      <c r="A2" s="3709" t="s">
        <v>89</v>
      </c>
      <c r="B2" s="3709"/>
      <c r="C2" s="3709"/>
      <c r="D2" s="3709"/>
      <c r="E2" s="3709"/>
      <c r="F2" s="3709"/>
      <c r="G2" s="3709"/>
      <c r="H2" s="3709"/>
      <c r="I2" s="3709"/>
      <c r="J2" s="3709"/>
      <c r="K2" s="3709"/>
      <c r="L2" s="3709"/>
      <c r="M2" s="3709"/>
      <c r="N2" s="3709"/>
      <c r="O2" s="3709"/>
      <c r="P2" s="3709"/>
      <c r="Q2" s="3709"/>
      <c r="R2" s="3709"/>
      <c r="S2" s="22"/>
      <c r="T2" s="22"/>
      <c r="U2" s="22"/>
      <c r="V2" s="22"/>
    </row>
    <row r="3" spans="1:23" x14ac:dyDescent="0.2">
      <c r="P3" s="2941"/>
    </row>
    <row r="4" spans="1:23" x14ac:dyDescent="0.2">
      <c r="C4" s="522" t="s">
        <v>1</v>
      </c>
      <c r="P4" s="2941"/>
    </row>
    <row r="5" spans="1:23" ht="16.5" thickBot="1" x14ac:dyDescent="0.3">
      <c r="A5" s="3710"/>
      <c r="B5" s="3710"/>
      <c r="C5" s="3710"/>
      <c r="D5" s="3710"/>
      <c r="E5" s="3710"/>
      <c r="F5" s="24"/>
      <c r="G5" s="24"/>
      <c r="H5" s="17"/>
      <c r="I5" s="17"/>
      <c r="J5" s="17"/>
      <c r="K5" s="17"/>
      <c r="L5" s="17"/>
      <c r="M5" s="3706" t="s">
        <v>90</v>
      </c>
      <c r="N5" s="3706"/>
      <c r="O5" s="3706"/>
      <c r="P5" s="3706"/>
      <c r="Q5" s="3706"/>
      <c r="R5" s="3706"/>
      <c r="S5" s="25"/>
      <c r="T5" s="25"/>
      <c r="U5" s="25"/>
      <c r="V5" s="25"/>
    </row>
    <row r="6" spans="1:23" ht="15.75" hidden="1" x14ac:dyDescent="0.25">
      <c r="A6" s="23"/>
      <c r="B6" s="23"/>
      <c r="C6" s="23"/>
      <c r="D6" s="23"/>
      <c r="E6" s="23"/>
      <c r="F6" s="24"/>
      <c r="G6" s="24"/>
      <c r="H6" s="17"/>
      <c r="I6" s="17"/>
      <c r="J6" s="17"/>
      <c r="K6" s="17"/>
      <c r="L6" s="17"/>
      <c r="M6" s="26"/>
      <c r="N6" s="26"/>
      <c r="O6" s="26"/>
      <c r="Q6" s="26"/>
      <c r="R6" s="27"/>
      <c r="S6" s="26"/>
      <c r="T6" s="26"/>
      <c r="U6" s="26"/>
      <c r="V6" s="28"/>
    </row>
    <row r="7" spans="1:23" ht="13.5" hidden="1" thickBot="1" x14ac:dyDescent="0.25"/>
    <row r="8" spans="1:23" s="20" customFormat="1" ht="23.25" customHeight="1" thickBot="1" x14ac:dyDescent="0.25">
      <c r="A8" s="2655" t="s">
        <v>1</v>
      </c>
      <c r="B8" s="2656"/>
      <c r="C8" s="2657"/>
      <c r="D8" s="2658"/>
      <c r="E8" s="2659"/>
      <c r="F8" s="2658"/>
      <c r="G8" s="2659"/>
      <c r="H8" s="2658"/>
      <c r="I8" s="2659"/>
      <c r="J8" s="2659">
        <v>2018</v>
      </c>
      <c r="K8" s="3174" t="s">
        <v>825</v>
      </c>
      <c r="L8" s="3175" t="s">
        <v>958</v>
      </c>
      <c r="M8" s="2661">
        <v>2021</v>
      </c>
      <c r="N8" s="2662" t="s">
        <v>872</v>
      </c>
      <c r="O8" s="2662" t="s">
        <v>927</v>
      </c>
      <c r="P8" s="2944">
        <v>2022</v>
      </c>
      <c r="Q8" s="2945">
        <v>2023</v>
      </c>
      <c r="R8" s="2946">
        <v>2024</v>
      </c>
      <c r="S8" s="30"/>
      <c r="T8" s="30"/>
      <c r="U8" s="30"/>
      <c r="V8" s="31"/>
    </row>
    <row r="9" spans="1:23" s="34" customFormat="1" ht="13.5" thickBot="1" x14ac:dyDescent="0.25">
      <c r="A9" s="2663" t="s">
        <v>91</v>
      </c>
      <c r="B9" s="2664"/>
      <c r="C9" s="2665"/>
      <c r="D9" s="2666"/>
      <c r="E9" s="2667"/>
      <c r="F9" s="2666"/>
      <c r="G9" s="2667"/>
      <c r="H9" s="2666"/>
      <c r="I9" s="2667"/>
      <c r="J9" s="2666">
        <f>J10+J16</f>
        <v>1015163.92</v>
      </c>
      <c r="K9" s="2668">
        <f>SUM(K10,K16)</f>
        <v>1125792.3199999998</v>
      </c>
      <c r="L9" s="2669">
        <f>L10+L16</f>
        <v>1139708</v>
      </c>
      <c r="M9" s="2670">
        <f>M10+M16</f>
        <v>1129544</v>
      </c>
      <c r="N9" s="2671">
        <f>SUM(N10,N16)</f>
        <v>1126107</v>
      </c>
      <c r="O9" s="2672">
        <f>SUM(O10,O16)</f>
        <v>1174023</v>
      </c>
      <c r="P9" s="2948">
        <f>SUM(P10,P16)</f>
        <v>1212661</v>
      </c>
      <c r="Q9" s="2673">
        <f>SUM(Q10,Q16)</f>
        <v>1316777</v>
      </c>
      <c r="R9" s="2674">
        <f>SUM(R10,R16)</f>
        <v>1392044</v>
      </c>
      <c r="S9" s="32"/>
      <c r="T9" s="32"/>
      <c r="U9" s="32"/>
      <c r="V9" s="33"/>
    </row>
    <row r="10" spans="1:23" s="20" customFormat="1" x14ac:dyDescent="0.2">
      <c r="A10" s="3500">
        <v>111</v>
      </c>
      <c r="B10" s="3501" t="s">
        <v>92</v>
      </c>
      <c r="C10" s="3502" t="s">
        <v>93</v>
      </c>
      <c r="D10" s="3503"/>
      <c r="E10" s="3504"/>
      <c r="F10" s="3503"/>
      <c r="G10" s="3503"/>
      <c r="H10" s="3503"/>
      <c r="I10" s="3503"/>
      <c r="J10" s="3505">
        <v>852522.05</v>
      </c>
      <c r="K10" s="3506">
        <v>960168.32</v>
      </c>
      <c r="L10" s="3507">
        <v>928655</v>
      </c>
      <c r="M10" s="3492">
        <v>919144</v>
      </c>
      <c r="N10" s="3508">
        <v>915707</v>
      </c>
      <c r="O10" s="3509">
        <v>962823</v>
      </c>
      <c r="P10" s="3510">
        <v>1001461</v>
      </c>
      <c r="Q10" s="3511">
        <v>1098877</v>
      </c>
      <c r="R10" s="3512">
        <v>1174144</v>
      </c>
      <c r="S10" s="39"/>
      <c r="T10" s="39"/>
      <c r="U10" s="39"/>
      <c r="V10" s="40"/>
      <c r="W10" s="41"/>
    </row>
    <row r="11" spans="1:23" s="20" customFormat="1" x14ac:dyDescent="0.2">
      <c r="A11" s="1561"/>
      <c r="B11" s="1126"/>
      <c r="C11" s="883" t="s">
        <v>754</v>
      </c>
      <c r="D11" s="37"/>
      <c r="E11" s="38"/>
      <c r="F11" s="37"/>
      <c r="G11" s="37"/>
      <c r="H11" s="37"/>
      <c r="I11" s="37"/>
      <c r="J11" s="2008">
        <v>130964</v>
      </c>
      <c r="K11" s="2141">
        <v>166500</v>
      </c>
      <c r="L11" s="3484">
        <v>166500</v>
      </c>
      <c r="M11" s="3493">
        <v>181686</v>
      </c>
      <c r="N11" s="3487">
        <v>181686</v>
      </c>
      <c r="O11" s="2839">
        <v>181686</v>
      </c>
      <c r="P11" s="2949"/>
      <c r="Q11" s="2023">
        <v>185000</v>
      </c>
      <c r="R11" s="3513">
        <v>190000</v>
      </c>
      <c r="S11" s="1769"/>
      <c r="T11" s="1769"/>
      <c r="U11" s="1769"/>
      <c r="V11" s="40"/>
      <c r="W11" s="41"/>
    </row>
    <row r="12" spans="1:23" s="20" customFormat="1" x14ac:dyDescent="0.2">
      <c r="A12" s="1561"/>
      <c r="B12" s="1126"/>
      <c r="C12" s="883" t="s">
        <v>751</v>
      </c>
      <c r="D12" s="37"/>
      <c r="E12" s="38"/>
      <c r="F12" s="37"/>
      <c r="G12" s="37"/>
      <c r="H12" s="37"/>
      <c r="I12" s="37"/>
      <c r="J12" s="2008">
        <v>7572</v>
      </c>
      <c r="K12" s="2141">
        <v>26261</v>
      </c>
      <c r="L12" s="3484">
        <v>28880</v>
      </c>
      <c r="M12" s="3493">
        <v>33052</v>
      </c>
      <c r="N12" s="3487">
        <v>33052</v>
      </c>
      <c r="O12" s="2839">
        <v>33052</v>
      </c>
      <c r="P12" s="2949"/>
      <c r="Q12" s="2023">
        <v>35000</v>
      </c>
      <c r="R12" s="3513">
        <v>37000</v>
      </c>
      <c r="S12" s="39"/>
      <c r="T12" s="39"/>
      <c r="U12" s="39"/>
      <c r="V12" s="40"/>
      <c r="W12" s="41"/>
    </row>
    <row r="13" spans="1:23" s="20" customFormat="1" x14ac:dyDescent="0.2">
      <c r="A13" s="1561"/>
      <c r="B13" s="1126"/>
      <c r="C13" s="883" t="s">
        <v>752</v>
      </c>
      <c r="D13" s="37"/>
      <c r="E13" s="38"/>
      <c r="F13" s="37"/>
      <c r="G13" s="37"/>
      <c r="H13" s="37"/>
      <c r="I13" s="37"/>
      <c r="J13" s="2008">
        <v>4511</v>
      </c>
      <c r="K13" s="2141">
        <v>11111</v>
      </c>
      <c r="L13" s="3484">
        <v>11300</v>
      </c>
      <c r="M13" s="3493">
        <v>11568</v>
      </c>
      <c r="N13" s="3487">
        <v>11568</v>
      </c>
      <c r="O13" s="2839">
        <v>11568</v>
      </c>
      <c r="P13" s="2949"/>
      <c r="Q13" s="2023">
        <v>12000</v>
      </c>
      <c r="R13" s="3513">
        <v>12500</v>
      </c>
      <c r="S13" s="39"/>
      <c r="T13" s="39"/>
      <c r="U13" s="39"/>
      <c r="V13" s="40"/>
      <c r="W13" s="41"/>
    </row>
    <row r="14" spans="1:23" s="20" customFormat="1" x14ac:dyDescent="0.2">
      <c r="A14" s="1561"/>
      <c r="B14" s="1126"/>
      <c r="C14" s="883" t="s">
        <v>843</v>
      </c>
      <c r="D14" s="37"/>
      <c r="E14" s="38"/>
      <c r="F14" s="37"/>
      <c r="G14" s="37"/>
      <c r="H14" s="37"/>
      <c r="I14" s="37"/>
      <c r="J14" s="2008"/>
      <c r="K14" s="2141"/>
      <c r="L14" s="3484"/>
      <c r="M14" s="3493"/>
      <c r="N14" s="3487"/>
      <c r="O14" s="2839"/>
      <c r="P14" s="2949"/>
      <c r="Q14" s="2023"/>
      <c r="R14" s="3513"/>
      <c r="S14" s="39"/>
      <c r="T14" s="39"/>
      <c r="U14" s="39"/>
      <c r="V14" s="40"/>
      <c r="W14" s="41"/>
    </row>
    <row r="15" spans="1:23" s="20" customFormat="1" x14ac:dyDescent="0.2">
      <c r="A15" s="1561"/>
      <c r="B15" s="1126"/>
      <c r="C15" s="883" t="s">
        <v>761</v>
      </c>
      <c r="D15" s="37"/>
      <c r="E15" s="38"/>
      <c r="F15" s="37"/>
      <c r="G15" s="37"/>
      <c r="H15" s="37"/>
      <c r="I15" s="37"/>
      <c r="J15" s="1351"/>
      <c r="K15" s="2141">
        <v>26200</v>
      </c>
      <c r="L15" s="3484">
        <v>26200</v>
      </c>
      <c r="M15" s="3493">
        <v>26200</v>
      </c>
      <c r="N15" s="3487">
        <v>26200</v>
      </c>
      <c r="O15" s="2839">
        <v>26200</v>
      </c>
      <c r="P15" s="2949"/>
      <c r="Q15" s="2023">
        <v>26200</v>
      </c>
      <c r="R15" s="3513">
        <v>26200</v>
      </c>
      <c r="S15" s="39"/>
      <c r="T15" s="39"/>
      <c r="U15" s="39"/>
      <c r="V15" s="40"/>
      <c r="W15" s="41"/>
    </row>
    <row r="16" spans="1:23" s="20" customFormat="1" x14ac:dyDescent="0.2">
      <c r="A16" s="1561">
        <v>121</v>
      </c>
      <c r="B16" s="1126"/>
      <c r="C16" s="883" t="s">
        <v>7</v>
      </c>
      <c r="D16" s="37"/>
      <c r="E16" s="38"/>
      <c r="F16" s="37"/>
      <c r="G16" s="37"/>
      <c r="H16" s="37"/>
      <c r="I16" s="37"/>
      <c r="J16" s="1351">
        <f>J17+J19+J21</f>
        <v>162641.87</v>
      </c>
      <c r="K16" s="2142">
        <f>K17+K19+K21+K18+K20</f>
        <v>165624</v>
      </c>
      <c r="L16" s="3485">
        <f>L17+L19+L21+L18+L20</f>
        <v>211053</v>
      </c>
      <c r="M16" s="3494">
        <f>M17+M19+M21+M20+M18</f>
        <v>210400</v>
      </c>
      <c r="N16" s="3488">
        <f>N17+N19+N21+N18+N20</f>
        <v>210400</v>
      </c>
      <c r="O16" s="2947">
        <f>O17+O19+O21+O18+O20</f>
        <v>211200</v>
      </c>
      <c r="P16" s="2950">
        <f>P17+P19+P21+P18+P20</f>
        <v>211200</v>
      </c>
      <c r="Q16" s="2020">
        <f>Q17+Q19+Q21+Q18+Q20</f>
        <v>217900</v>
      </c>
      <c r="R16" s="3514">
        <f>R17+R19+R21+R18+R20</f>
        <v>217900</v>
      </c>
      <c r="S16" s="39"/>
      <c r="T16" s="39"/>
      <c r="U16" s="39"/>
      <c r="V16" s="40"/>
    </row>
    <row r="17" spans="1:23" s="20" customFormat="1" x14ac:dyDescent="0.2">
      <c r="A17" s="1567">
        <v>121</v>
      </c>
      <c r="B17" s="1453" t="s">
        <v>94</v>
      </c>
      <c r="C17" s="1096" t="s">
        <v>95</v>
      </c>
      <c r="D17" s="44"/>
      <c r="E17" s="44"/>
      <c r="F17" s="44"/>
      <c r="G17" s="45"/>
      <c r="H17" s="44"/>
      <c r="I17" s="44"/>
      <c r="J17" s="1352">
        <v>137761.43</v>
      </c>
      <c r="K17" s="1352">
        <v>120932</v>
      </c>
      <c r="L17" s="3291">
        <v>178731</v>
      </c>
      <c r="M17" s="3495">
        <v>175000</v>
      </c>
      <c r="N17" s="2013">
        <v>175000</v>
      </c>
      <c r="O17" s="2839">
        <v>175000</v>
      </c>
      <c r="P17" s="2949">
        <v>175000</v>
      </c>
      <c r="Q17" s="2024">
        <v>175000</v>
      </c>
      <c r="R17" s="3515">
        <v>175000</v>
      </c>
      <c r="S17" s="46"/>
      <c r="T17" s="46"/>
      <c r="U17" s="46"/>
      <c r="V17" s="47"/>
    </row>
    <row r="18" spans="1:23" x14ac:dyDescent="0.2">
      <c r="A18" s="1567">
        <v>121</v>
      </c>
      <c r="B18" s="1453" t="s">
        <v>94</v>
      </c>
      <c r="C18" s="1096" t="s">
        <v>96</v>
      </c>
      <c r="D18" s="44"/>
      <c r="E18" s="44"/>
      <c r="F18" s="44"/>
      <c r="G18" s="45"/>
      <c r="H18" s="44"/>
      <c r="I18" s="44"/>
      <c r="J18" s="1353">
        <v>22251.78</v>
      </c>
      <c r="K18" s="1353">
        <v>16864</v>
      </c>
      <c r="L18" s="3484">
        <v>469</v>
      </c>
      <c r="M18" s="3496">
        <v>1000</v>
      </c>
      <c r="N18" s="3489">
        <v>1000</v>
      </c>
      <c r="O18" s="2839">
        <v>1000</v>
      </c>
      <c r="P18" s="2949">
        <v>1000</v>
      </c>
      <c r="Q18" s="2025">
        <v>1000</v>
      </c>
      <c r="R18" s="3516">
        <v>1000</v>
      </c>
      <c r="S18" s="48"/>
      <c r="T18" s="48"/>
      <c r="U18" s="48"/>
      <c r="V18" s="48"/>
    </row>
    <row r="19" spans="1:23" x14ac:dyDescent="0.2">
      <c r="A19" s="1567">
        <v>121</v>
      </c>
      <c r="B19" s="1453" t="s">
        <v>97</v>
      </c>
      <c r="C19" s="1096" t="s">
        <v>98</v>
      </c>
      <c r="D19" s="49"/>
      <c r="E19" s="50"/>
      <c r="F19" s="49"/>
      <c r="G19" s="51"/>
      <c r="H19" s="50"/>
      <c r="I19" s="50"/>
      <c r="J19" s="1354">
        <v>24594.13</v>
      </c>
      <c r="K19" s="1354">
        <v>23951</v>
      </c>
      <c r="L19" s="3291">
        <v>30443</v>
      </c>
      <c r="M19" s="3497">
        <v>33000</v>
      </c>
      <c r="N19" s="2014">
        <v>33000</v>
      </c>
      <c r="O19" s="2839">
        <v>33000</v>
      </c>
      <c r="P19" s="2949">
        <v>33000</v>
      </c>
      <c r="Q19" s="2026">
        <v>40000</v>
      </c>
      <c r="R19" s="2037">
        <v>40000</v>
      </c>
      <c r="S19" s="46"/>
      <c r="T19" s="46"/>
      <c r="U19" s="46"/>
      <c r="V19" s="47"/>
    </row>
    <row r="20" spans="1:23" x14ac:dyDescent="0.2">
      <c r="A20" s="1567">
        <v>121</v>
      </c>
      <c r="B20" s="1453" t="s">
        <v>97</v>
      </c>
      <c r="C20" s="1096" t="s">
        <v>99</v>
      </c>
      <c r="D20" s="49"/>
      <c r="E20" s="50"/>
      <c r="F20" s="49"/>
      <c r="G20" s="51"/>
      <c r="H20" s="50"/>
      <c r="I20" s="50"/>
      <c r="J20" s="1355">
        <v>1248.58</v>
      </c>
      <c r="K20" s="1355">
        <v>3598</v>
      </c>
      <c r="L20" s="3484">
        <v>1112</v>
      </c>
      <c r="M20" s="3498">
        <v>1000</v>
      </c>
      <c r="N20" s="3490">
        <v>1000</v>
      </c>
      <c r="O20" s="2839">
        <v>1800</v>
      </c>
      <c r="P20" s="2949">
        <v>1800</v>
      </c>
      <c r="Q20" s="2026">
        <v>1500</v>
      </c>
      <c r="R20" s="3517">
        <v>1500</v>
      </c>
      <c r="S20" s="48"/>
      <c r="T20" s="48"/>
      <c r="U20" s="48"/>
      <c r="V20" s="48"/>
    </row>
    <row r="21" spans="1:23" ht="13.5" thickBot="1" x14ac:dyDescent="0.25">
      <c r="A21" s="1099">
        <v>121</v>
      </c>
      <c r="B21" s="725" t="s">
        <v>92</v>
      </c>
      <c r="C21" s="1103" t="s">
        <v>100</v>
      </c>
      <c r="D21" s="1801"/>
      <c r="E21" s="1811"/>
      <c r="F21" s="1801"/>
      <c r="G21" s="1812"/>
      <c r="H21" s="1811"/>
      <c r="I21" s="1811"/>
      <c r="J21" s="1603">
        <v>286.31</v>
      </c>
      <c r="K21" s="1603">
        <v>279</v>
      </c>
      <c r="L21" s="3518">
        <v>298</v>
      </c>
      <c r="M21" s="3499">
        <v>400</v>
      </c>
      <c r="N21" s="3491">
        <v>400</v>
      </c>
      <c r="O21" s="2840">
        <v>400</v>
      </c>
      <c r="P21" s="2951">
        <v>400</v>
      </c>
      <c r="Q21" s="3519">
        <v>400</v>
      </c>
      <c r="R21" s="2697">
        <v>400</v>
      </c>
      <c r="S21" s="46"/>
      <c r="T21" s="46"/>
      <c r="U21" s="46"/>
      <c r="V21" s="47"/>
      <c r="W21" s="52"/>
    </row>
    <row r="22" spans="1:23" ht="13.5" thickBot="1" x14ac:dyDescent="0.25">
      <c r="A22" s="53"/>
      <c r="B22" s="53"/>
      <c r="C22" s="53"/>
      <c r="D22" s="54"/>
      <c r="E22" s="55"/>
      <c r="F22" s="54"/>
      <c r="G22" s="56"/>
      <c r="H22" s="55"/>
      <c r="I22" s="55"/>
      <c r="J22" s="55"/>
      <c r="K22" s="55"/>
      <c r="L22" s="55"/>
      <c r="M22" s="55"/>
      <c r="N22" s="55"/>
      <c r="O22" s="55"/>
      <c r="P22" s="2941"/>
      <c r="Q22" s="58"/>
      <c r="R22" s="58"/>
      <c r="S22" s="47"/>
      <c r="T22" s="47"/>
      <c r="U22" s="47"/>
      <c r="V22" s="47"/>
    </row>
    <row r="23" spans="1:23" s="60" customFormat="1" ht="13.5" thickBot="1" x14ac:dyDescent="0.25">
      <c r="A23" s="2663" t="s">
        <v>101</v>
      </c>
      <c r="B23" s="2677"/>
      <c r="C23" s="2678"/>
      <c r="D23" s="2679"/>
      <c r="E23" s="2680"/>
      <c r="F23" s="2679"/>
      <c r="G23" s="2680"/>
      <c r="H23" s="2679"/>
      <c r="I23" s="2680"/>
      <c r="J23" s="2681">
        <f>SUM(J24,J26,J27,J28,J30)+J31</f>
        <v>63346.16</v>
      </c>
      <c r="K23" s="2681">
        <f>SUM(K24,K26,K27,K28,K30)+K31+K25+K29</f>
        <v>65504.11</v>
      </c>
      <c r="L23" s="2682">
        <f>SUM(L24,L26,L27,L28,L30)+L25+L29+L31</f>
        <v>103139</v>
      </c>
      <c r="M23" s="2683">
        <f>M24+M26+M27+M28+M30+M29+M31+M25</f>
        <v>103211</v>
      </c>
      <c r="N23" s="2939">
        <f>SUM(N24,N26,N27,N28,N30)+N29+N25+N31</f>
        <v>35211</v>
      </c>
      <c r="O23" s="2684">
        <f>SUM(O24,O26,O27,O28,O30)+O29+O25+O31</f>
        <v>36291</v>
      </c>
      <c r="P23" s="2952">
        <f>SUM(P24,P26,P27,P28,P30)+P29+P25+P31</f>
        <v>29291</v>
      </c>
      <c r="Q23" s="2685">
        <f>SUM(Q24,Q26,Q27,Q28,Q30)+Q25+Q29+Q31</f>
        <v>30961</v>
      </c>
      <c r="R23" s="2686">
        <f>SUM(R24,R26,R27,R28,R30)+R29+R31+R25</f>
        <v>30961</v>
      </c>
      <c r="S23" s="59"/>
      <c r="T23" s="59"/>
      <c r="U23" s="59"/>
      <c r="V23" s="59"/>
    </row>
    <row r="24" spans="1:23" x14ac:dyDescent="0.2">
      <c r="A24" s="2519">
        <v>133</v>
      </c>
      <c r="B24" s="2519" t="s">
        <v>94</v>
      </c>
      <c r="C24" s="1138" t="s">
        <v>13</v>
      </c>
      <c r="D24" s="76"/>
      <c r="E24" s="76"/>
      <c r="F24" s="76"/>
      <c r="G24" s="95"/>
      <c r="H24" s="76"/>
      <c r="I24" s="76"/>
      <c r="J24" s="2675">
        <v>2617.3000000000002</v>
      </c>
      <c r="K24" s="2675">
        <v>2668</v>
      </c>
      <c r="L24" s="2676">
        <v>2378</v>
      </c>
      <c r="M24" s="2145">
        <v>2500</v>
      </c>
      <c r="N24" s="2015">
        <v>2500</v>
      </c>
      <c r="O24" s="2841">
        <v>2350</v>
      </c>
      <c r="P24" s="2953">
        <v>2350</v>
      </c>
      <c r="Q24" s="2144">
        <v>2850</v>
      </c>
      <c r="R24" s="2041">
        <v>2850</v>
      </c>
      <c r="S24" s="46"/>
      <c r="T24" s="46"/>
      <c r="U24" s="46"/>
      <c r="V24" s="47"/>
    </row>
    <row r="25" spans="1:23" x14ac:dyDescent="0.2">
      <c r="A25" s="1126">
        <v>133</v>
      </c>
      <c r="B25" s="1126" t="s">
        <v>94</v>
      </c>
      <c r="C25" s="883" t="s">
        <v>824</v>
      </c>
      <c r="D25" s="50"/>
      <c r="E25" s="50"/>
      <c r="F25" s="50"/>
      <c r="G25" s="61"/>
      <c r="H25" s="50"/>
      <c r="I25" s="50"/>
      <c r="J25" s="1355">
        <v>125.79</v>
      </c>
      <c r="K25" s="1355">
        <v>251</v>
      </c>
      <c r="L25" s="2015">
        <v>252</v>
      </c>
      <c r="M25" s="2014">
        <v>250</v>
      </c>
      <c r="N25" s="2015">
        <v>250</v>
      </c>
      <c r="O25" s="2842">
        <v>180</v>
      </c>
      <c r="P25" s="2954">
        <v>180</v>
      </c>
      <c r="Q25" s="2022">
        <v>250</v>
      </c>
      <c r="R25" s="2034">
        <v>250</v>
      </c>
      <c r="S25" s="48"/>
      <c r="T25" s="48"/>
      <c r="U25" s="48"/>
      <c r="V25" s="48"/>
    </row>
    <row r="26" spans="1:23" x14ac:dyDescent="0.2">
      <c r="A26" s="1453">
        <v>133</v>
      </c>
      <c r="B26" s="1126" t="s">
        <v>92</v>
      </c>
      <c r="C26" s="883" t="s">
        <v>16</v>
      </c>
      <c r="D26" s="50"/>
      <c r="E26" s="50"/>
      <c r="F26" s="50"/>
      <c r="G26" s="61"/>
      <c r="H26" s="50"/>
      <c r="I26" s="50"/>
      <c r="J26" s="1354">
        <v>0</v>
      </c>
      <c r="K26" s="1354">
        <v>0</v>
      </c>
      <c r="L26" s="2015">
        <v>0</v>
      </c>
      <c r="M26" s="2014">
        <v>0</v>
      </c>
      <c r="N26" s="2015">
        <v>0</v>
      </c>
      <c r="O26" s="2839">
        <v>0</v>
      </c>
      <c r="P26" s="2949">
        <v>0</v>
      </c>
      <c r="Q26" s="2022">
        <v>0</v>
      </c>
      <c r="R26" s="2034">
        <v>0</v>
      </c>
      <c r="S26" s="46"/>
      <c r="T26" s="46"/>
      <c r="U26" s="46"/>
      <c r="V26" s="47"/>
    </row>
    <row r="27" spans="1:23" x14ac:dyDescent="0.2">
      <c r="A27" s="1453">
        <v>133</v>
      </c>
      <c r="B27" s="1126" t="s">
        <v>102</v>
      </c>
      <c r="C27" s="883" t="s">
        <v>10</v>
      </c>
      <c r="D27" s="50"/>
      <c r="E27" s="50"/>
      <c r="F27" s="50"/>
      <c r="G27" s="61"/>
      <c r="H27" s="50"/>
      <c r="I27" s="50"/>
      <c r="J27" s="1354">
        <v>1608.29</v>
      </c>
      <c r="K27" s="1354">
        <v>1347</v>
      </c>
      <c r="L27" s="2015">
        <v>672</v>
      </c>
      <c r="M27" s="2014">
        <v>1000</v>
      </c>
      <c r="N27" s="2015">
        <v>1000</v>
      </c>
      <c r="O27" s="2842">
        <v>300</v>
      </c>
      <c r="P27" s="2954">
        <v>300</v>
      </c>
      <c r="Q27" s="2022">
        <v>1400</v>
      </c>
      <c r="R27" s="2034">
        <v>1400</v>
      </c>
      <c r="S27" s="46"/>
      <c r="T27" s="46"/>
      <c r="U27" s="46"/>
      <c r="V27" s="47"/>
    </row>
    <row r="28" spans="1:23" x14ac:dyDescent="0.2">
      <c r="A28" s="1453">
        <v>133</v>
      </c>
      <c r="B28" s="1126" t="s">
        <v>103</v>
      </c>
      <c r="C28" s="883" t="s">
        <v>104</v>
      </c>
      <c r="D28" s="50"/>
      <c r="E28" s="50"/>
      <c r="F28" s="50"/>
      <c r="G28" s="61"/>
      <c r="H28" s="50"/>
      <c r="I28" s="50"/>
      <c r="J28" s="1354">
        <v>32695.759999999998</v>
      </c>
      <c r="K28" s="1354">
        <v>27733</v>
      </c>
      <c r="L28" s="2015">
        <v>67484</v>
      </c>
      <c r="M28" s="2014">
        <v>68000</v>
      </c>
      <c r="N28" s="2015">
        <v>0</v>
      </c>
      <c r="O28" s="2839">
        <v>0</v>
      </c>
      <c r="P28" s="2949">
        <v>0</v>
      </c>
      <c r="Q28" s="2022">
        <v>0</v>
      </c>
      <c r="R28" s="2034">
        <v>0</v>
      </c>
      <c r="S28" s="46"/>
      <c r="T28" s="46"/>
      <c r="U28" s="46"/>
      <c r="V28" s="47"/>
      <c r="W28" s="62"/>
    </row>
    <row r="29" spans="1:23" x14ac:dyDescent="0.2">
      <c r="A29" s="1453">
        <v>133</v>
      </c>
      <c r="B29" s="1126" t="s">
        <v>103</v>
      </c>
      <c r="C29" s="883" t="s">
        <v>823</v>
      </c>
      <c r="D29" s="50"/>
      <c r="E29" s="50"/>
      <c r="F29" s="50"/>
      <c r="G29" s="61"/>
      <c r="H29" s="50"/>
      <c r="I29" s="50"/>
      <c r="J29" s="1355">
        <v>6287.86</v>
      </c>
      <c r="K29" s="1355">
        <v>6972</v>
      </c>
      <c r="L29" s="2140">
        <v>5571</v>
      </c>
      <c r="M29" s="2937">
        <v>5000</v>
      </c>
      <c r="N29" s="2140">
        <v>5000</v>
      </c>
      <c r="O29" s="2842">
        <v>7000</v>
      </c>
      <c r="P29" s="2954">
        <v>0</v>
      </c>
      <c r="Q29" s="2022">
        <v>0</v>
      </c>
      <c r="R29" s="2035">
        <v>0</v>
      </c>
      <c r="S29" s="48"/>
      <c r="T29" s="48"/>
      <c r="U29" s="48"/>
      <c r="V29" s="47"/>
    </row>
    <row r="30" spans="1:23" x14ac:dyDescent="0.2">
      <c r="A30" s="1453">
        <v>133</v>
      </c>
      <c r="B30" s="1126" t="s">
        <v>105</v>
      </c>
      <c r="C30" s="883" t="s">
        <v>106</v>
      </c>
      <c r="D30" s="44"/>
      <c r="E30" s="44"/>
      <c r="F30" s="44"/>
      <c r="G30" s="45"/>
      <c r="H30" s="44"/>
      <c r="I30" s="44"/>
      <c r="J30" s="1354">
        <v>26361.31</v>
      </c>
      <c r="K30" s="2139">
        <v>26361.31</v>
      </c>
      <c r="L30" s="3291">
        <v>26361</v>
      </c>
      <c r="M30" s="3520">
        <v>26361</v>
      </c>
      <c r="N30" s="2015">
        <v>26361</v>
      </c>
      <c r="O30" s="2839">
        <v>26361</v>
      </c>
      <c r="P30" s="2949">
        <v>26361</v>
      </c>
      <c r="Q30" s="2021">
        <v>26361</v>
      </c>
      <c r="R30" s="2036">
        <v>26361</v>
      </c>
      <c r="S30" s="46"/>
      <c r="T30" s="46"/>
      <c r="U30" s="46"/>
      <c r="V30" s="47"/>
      <c r="W30" s="52"/>
    </row>
    <row r="31" spans="1:23" ht="13.5" thickBot="1" x14ac:dyDescent="0.25">
      <c r="A31" s="2132">
        <v>160</v>
      </c>
      <c r="B31" s="65"/>
      <c r="C31" s="2009" t="s">
        <v>822</v>
      </c>
      <c r="D31" s="44"/>
      <c r="E31" s="44"/>
      <c r="F31" s="44"/>
      <c r="G31" s="45"/>
      <c r="H31" s="44"/>
      <c r="I31" s="44"/>
      <c r="J31" s="1602">
        <v>63.5</v>
      </c>
      <c r="K31" s="1857">
        <v>171.8</v>
      </c>
      <c r="L31" s="2687">
        <v>421</v>
      </c>
      <c r="M31" s="2938">
        <v>100</v>
      </c>
      <c r="N31" s="2015">
        <v>100</v>
      </c>
      <c r="O31" s="2843">
        <v>100</v>
      </c>
      <c r="P31" s="2955">
        <v>100</v>
      </c>
      <c r="Q31" s="2021">
        <v>100</v>
      </c>
      <c r="R31" s="2036">
        <v>100</v>
      </c>
      <c r="S31" s="46"/>
      <c r="T31" s="46"/>
      <c r="U31" s="46"/>
      <c r="V31" s="47"/>
      <c r="W31" s="52"/>
    </row>
    <row r="32" spans="1:23" ht="13.5" thickBot="1" x14ac:dyDescent="0.25">
      <c r="A32" s="3711" t="s">
        <v>107</v>
      </c>
      <c r="B32" s="3712"/>
      <c r="C32" s="3712"/>
      <c r="D32" s="2688"/>
      <c r="E32" s="2689"/>
      <c r="F32" s="2688"/>
      <c r="G32" s="2689"/>
      <c r="H32" s="2688"/>
      <c r="I32" s="2689"/>
      <c r="J32" s="2688">
        <f>J9+J23</f>
        <v>1078510.0800000001</v>
      </c>
      <c r="K32" s="2690">
        <f>SUM(K9,K23)</f>
        <v>1191296.43</v>
      </c>
      <c r="L32" s="2691">
        <f>L9+L23</f>
        <v>1242847</v>
      </c>
      <c r="M32" s="2692">
        <f>M9+M23</f>
        <v>1232755</v>
      </c>
      <c r="N32" s="2940">
        <f>SUM(N9,N23)</f>
        <v>1161318</v>
      </c>
      <c r="O32" s="2694">
        <f>SUM(O9,O23)</f>
        <v>1210314</v>
      </c>
      <c r="P32" s="2844">
        <f>SUM(P9,P23)</f>
        <v>1241952</v>
      </c>
      <c r="Q32" s="2567">
        <f>SUM(Q9,Q23)</f>
        <v>1347738</v>
      </c>
      <c r="R32" s="2564">
        <f>SUM(R9,R23)</f>
        <v>1423005</v>
      </c>
      <c r="S32" s="59"/>
      <c r="T32" s="59"/>
      <c r="U32" s="59"/>
      <c r="V32" s="59"/>
    </row>
    <row r="33" spans="1:23" x14ac:dyDescent="0.2">
      <c r="A33" s="53"/>
      <c r="B33" s="65"/>
      <c r="C33" s="65"/>
      <c r="D33" s="66"/>
      <c r="E33" s="58"/>
      <c r="F33" s="66"/>
      <c r="G33" s="66"/>
      <c r="H33" s="58"/>
      <c r="I33" s="58"/>
      <c r="J33" s="58"/>
      <c r="K33" s="58"/>
      <c r="L33" s="58"/>
      <c r="M33" s="67"/>
      <c r="N33" s="67"/>
      <c r="O33" s="67"/>
      <c r="P33" s="2941"/>
      <c r="Q33" s="67"/>
      <c r="R33" s="55"/>
      <c r="S33" s="68"/>
      <c r="T33" s="68"/>
      <c r="U33" s="68"/>
      <c r="V33" s="47"/>
    </row>
    <row r="34" spans="1:23" hidden="1" x14ac:dyDescent="0.2">
      <c r="A34" s="53"/>
      <c r="B34" s="65"/>
      <c r="C34" s="65"/>
      <c r="D34" s="66"/>
      <c r="E34" s="58"/>
      <c r="F34" s="66"/>
      <c r="G34" s="66"/>
      <c r="H34" s="58"/>
      <c r="I34" s="58"/>
      <c r="J34" s="58"/>
      <c r="K34" s="58"/>
      <c r="L34" s="58"/>
      <c r="M34" s="67"/>
      <c r="N34" s="67"/>
      <c r="O34" s="67"/>
      <c r="Q34" s="67"/>
      <c r="R34" s="55"/>
      <c r="S34" s="68"/>
      <c r="T34" s="68"/>
      <c r="U34" s="68"/>
      <c r="V34" s="47"/>
    </row>
    <row r="35" spans="1:23" ht="16.5" thickBot="1" x14ac:dyDescent="0.3">
      <c r="A35" s="53"/>
      <c r="B35" s="65"/>
      <c r="C35" s="65"/>
      <c r="D35" s="66"/>
      <c r="E35" s="58"/>
      <c r="F35" s="66"/>
      <c r="G35" s="66"/>
      <c r="H35" s="58"/>
      <c r="I35" s="58"/>
      <c r="J35" s="58"/>
      <c r="K35" s="58"/>
      <c r="L35" s="58"/>
      <c r="M35" s="3706" t="s">
        <v>108</v>
      </c>
      <c r="N35" s="3706"/>
      <c r="O35" s="3706"/>
      <c r="P35" s="3706"/>
      <c r="Q35" s="3706"/>
      <c r="R35" s="3706"/>
      <c r="S35" s="25"/>
      <c r="T35" s="25"/>
      <c r="U35" s="25"/>
      <c r="V35" s="25"/>
    </row>
    <row r="36" spans="1:23" ht="16.5" hidden="1" thickBot="1" x14ac:dyDescent="0.3">
      <c r="A36" s="53"/>
      <c r="B36" s="65"/>
      <c r="C36" s="65"/>
      <c r="D36" s="66"/>
      <c r="E36" s="58"/>
      <c r="F36" s="66"/>
      <c r="G36" s="66"/>
      <c r="H36" s="58"/>
      <c r="I36" s="58"/>
      <c r="J36" s="58"/>
      <c r="K36" s="58"/>
      <c r="L36" s="58"/>
      <c r="M36" s="26"/>
      <c r="N36" s="26"/>
      <c r="O36" s="26"/>
      <c r="Q36" s="26"/>
      <c r="R36" s="27"/>
      <c r="S36" s="26"/>
      <c r="T36" s="26"/>
      <c r="U36" s="26"/>
      <c r="V36" s="28"/>
    </row>
    <row r="37" spans="1:23" s="20" customFormat="1" ht="23.25" thickBot="1" x14ac:dyDescent="0.3">
      <c r="A37" s="2701" t="s">
        <v>1</v>
      </c>
      <c r="B37" s="2702"/>
      <c r="C37" s="2703"/>
      <c r="D37" s="2704"/>
      <c r="E37" s="2705"/>
      <c r="F37" s="2704"/>
      <c r="G37" s="2705"/>
      <c r="H37" s="2704"/>
      <c r="I37" s="2705"/>
      <c r="J37" s="2705">
        <v>2018</v>
      </c>
      <c r="K37" s="3174" t="s">
        <v>825</v>
      </c>
      <c r="L37" s="3175" t="s">
        <v>958</v>
      </c>
      <c r="M37" s="2707">
        <v>2021</v>
      </c>
      <c r="N37" s="2698" t="s">
        <v>872</v>
      </c>
      <c r="O37" s="2662" t="s">
        <v>927</v>
      </c>
      <c r="P37" s="2944">
        <v>2022</v>
      </c>
      <c r="Q37" s="2945">
        <v>2023</v>
      </c>
      <c r="R37" s="2946">
        <v>2024</v>
      </c>
      <c r="S37" s="69"/>
      <c r="T37" s="69"/>
      <c r="U37" s="69"/>
      <c r="V37" s="70"/>
    </row>
    <row r="38" spans="1:23" s="34" customFormat="1" ht="13.5" thickBot="1" x14ac:dyDescent="0.25">
      <c r="A38" s="2711" t="s">
        <v>109</v>
      </c>
      <c r="B38" s="2711"/>
      <c r="C38" s="2712"/>
      <c r="D38" s="2713"/>
      <c r="E38" s="2714"/>
      <c r="F38" s="2713"/>
      <c r="G38" s="2714"/>
      <c r="H38" s="2713"/>
      <c r="I38" s="2714"/>
      <c r="J38" s="2713">
        <f>SUM(J39,J40,J41,J42,J43)</f>
        <v>127462.42</v>
      </c>
      <c r="K38" s="2713">
        <f>SUM(K39,K40,K41,K42,K43)</f>
        <v>204935.19</v>
      </c>
      <c r="L38" s="2715">
        <f>SUM(L39:L43)</f>
        <v>146661</v>
      </c>
      <c r="M38" s="2716">
        <f t="shared" ref="M38:R38" si="0">M39+M40+M41+M42+M43</f>
        <v>52000</v>
      </c>
      <c r="N38" s="2699">
        <f t="shared" si="0"/>
        <v>52000</v>
      </c>
      <c r="O38" s="2700">
        <f t="shared" si="0"/>
        <v>52000</v>
      </c>
      <c r="P38" s="2952">
        <f t="shared" si="0"/>
        <v>52000</v>
      </c>
      <c r="Q38" s="2717">
        <f t="shared" si="0"/>
        <v>45000</v>
      </c>
      <c r="R38" s="2716">
        <f t="shared" si="0"/>
        <v>45000</v>
      </c>
      <c r="S38" s="71"/>
      <c r="T38" s="71"/>
      <c r="U38" s="71"/>
      <c r="V38" s="71"/>
    </row>
    <row r="39" spans="1:23" x14ac:dyDescent="0.2">
      <c r="A39" s="2708">
        <v>211</v>
      </c>
      <c r="B39" s="2709" t="s">
        <v>92</v>
      </c>
      <c r="C39" s="1138" t="s">
        <v>110</v>
      </c>
      <c r="D39" s="75"/>
      <c r="E39" s="76"/>
      <c r="F39" s="75"/>
      <c r="G39" s="77"/>
      <c r="H39" s="76"/>
      <c r="I39" s="76"/>
      <c r="J39" s="1666">
        <v>0</v>
      </c>
      <c r="K39" s="1666">
        <v>0</v>
      </c>
      <c r="L39" s="2676">
        <v>0</v>
      </c>
      <c r="M39" s="2145">
        <v>0</v>
      </c>
      <c r="N39" s="3525">
        <v>0</v>
      </c>
      <c r="O39" s="3521">
        <v>0</v>
      </c>
      <c r="P39" s="2956">
        <v>0</v>
      </c>
      <c r="Q39" s="2144">
        <v>0</v>
      </c>
      <c r="R39" s="2710">
        <v>0</v>
      </c>
      <c r="S39" s="46"/>
      <c r="T39" s="46"/>
      <c r="U39" s="46"/>
      <c r="V39" s="46"/>
    </row>
    <row r="40" spans="1:23" x14ac:dyDescent="0.2">
      <c r="A40" s="2201">
        <v>212</v>
      </c>
      <c r="B40" s="1561" t="s">
        <v>97</v>
      </c>
      <c r="C40" s="883" t="s">
        <v>25</v>
      </c>
      <c r="D40" s="38"/>
      <c r="E40" s="50"/>
      <c r="F40" s="38"/>
      <c r="G40" s="37"/>
      <c r="H40" s="50"/>
      <c r="I40" s="50"/>
      <c r="J40" s="1638">
        <v>82892.78</v>
      </c>
      <c r="K40" s="1638">
        <v>148228.57</v>
      </c>
      <c r="L40" s="2015">
        <v>97148</v>
      </c>
      <c r="M40" s="2014">
        <v>10000</v>
      </c>
      <c r="N40" s="3497">
        <v>10000</v>
      </c>
      <c r="O40" s="3522">
        <v>11500</v>
      </c>
      <c r="P40" s="2954">
        <v>11500</v>
      </c>
      <c r="Q40" s="2022">
        <v>10000</v>
      </c>
      <c r="R40" s="2037">
        <v>10000</v>
      </c>
      <c r="S40" s="46"/>
      <c r="T40" s="46"/>
      <c r="U40" s="46"/>
      <c r="V40" s="46"/>
    </row>
    <row r="41" spans="1:23" x14ac:dyDescent="0.2">
      <c r="A41" s="2201">
        <v>212</v>
      </c>
      <c r="B41" s="1561" t="s">
        <v>92</v>
      </c>
      <c r="C41" s="883" t="s">
        <v>28</v>
      </c>
      <c r="D41" s="38"/>
      <c r="E41" s="50"/>
      <c r="F41" s="38"/>
      <c r="G41" s="37"/>
      <c r="H41" s="50"/>
      <c r="I41" s="50"/>
      <c r="J41" s="1638">
        <v>27055.64</v>
      </c>
      <c r="K41" s="1638">
        <v>28895.62</v>
      </c>
      <c r="L41" s="2015">
        <v>23146</v>
      </c>
      <c r="M41" s="2014">
        <v>20000</v>
      </c>
      <c r="N41" s="3497">
        <v>20000</v>
      </c>
      <c r="O41" s="3523">
        <v>20000</v>
      </c>
      <c r="P41" s="2949">
        <v>20000</v>
      </c>
      <c r="Q41" s="2022">
        <v>20000</v>
      </c>
      <c r="R41" s="2037">
        <v>20000</v>
      </c>
      <c r="S41" s="46"/>
      <c r="T41" s="46"/>
      <c r="U41" s="46"/>
      <c r="V41" s="46"/>
      <c r="W41" s="62"/>
    </row>
    <row r="42" spans="1:23" x14ac:dyDescent="0.2">
      <c r="A42" s="2201">
        <v>212</v>
      </c>
      <c r="B42" s="1561" t="s">
        <v>111</v>
      </c>
      <c r="C42" s="883" t="s">
        <v>112</v>
      </c>
      <c r="D42" s="38"/>
      <c r="E42" s="50"/>
      <c r="F42" s="38"/>
      <c r="G42" s="37"/>
      <c r="H42" s="50"/>
      <c r="I42" s="50"/>
      <c r="J42" s="1638">
        <v>17514</v>
      </c>
      <c r="K42" s="1638">
        <v>16399</v>
      </c>
      <c r="L42" s="2015">
        <v>14529</v>
      </c>
      <c r="M42" s="2014">
        <v>10000</v>
      </c>
      <c r="N42" s="3497">
        <v>10000</v>
      </c>
      <c r="O42" s="3522">
        <v>4500</v>
      </c>
      <c r="P42" s="2954">
        <v>4500</v>
      </c>
      <c r="Q42" s="2022">
        <v>3000</v>
      </c>
      <c r="R42" s="2037">
        <v>3000</v>
      </c>
      <c r="S42" s="46"/>
      <c r="T42" s="46"/>
      <c r="U42" s="46"/>
      <c r="V42" s="46"/>
    </row>
    <row r="43" spans="1:23" ht="13.5" thickBot="1" x14ac:dyDescent="0.25">
      <c r="A43" s="1099">
        <v>212</v>
      </c>
      <c r="B43" s="2130" t="s">
        <v>111</v>
      </c>
      <c r="C43" s="1517" t="s">
        <v>676</v>
      </c>
      <c r="D43" s="1814"/>
      <c r="E43" s="1811"/>
      <c r="F43" s="1814"/>
      <c r="G43" s="1815"/>
      <c r="H43" s="1811"/>
      <c r="I43" s="1811"/>
      <c r="J43" s="1828"/>
      <c r="K43" s="1828">
        <v>11412</v>
      </c>
      <c r="L43" s="2695">
        <v>11838</v>
      </c>
      <c r="M43" s="3491">
        <v>12000</v>
      </c>
      <c r="N43" s="3499">
        <v>12000</v>
      </c>
      <c r="O43" s="3524">
        <v>16000</v>
      </c>
      <c r="P43" s="2957">
        <v>16000</v>
      </c>
      <c r="Q43" s="2696">
        <v>12000</v>
      </c>
      <c r="R43" s="2697">
        <v>12000</v>
      </c>
      <c r="S43" s="46"/>
      <c r="T43" s="46"/>
      <c r="U43" s="46"/>
      <c r="V43" s="46"/>
      <c r="W43" s="72"/>
    </row>
    <row r="44" spans="1:23" ht="13.5" thickBot="1" x14ac:dyDescent="0.25">
      <c r="A44" s="53"/>
      <c r="B44" s="65"/>
      <c r="C44" s="65"/>
      <c r="D44" s="89"/>
      <c r="E44" s="58"/>
      <c r="F44" s="89"/>
      <c r="G44" s="90"/>
      <c r="H44" s="58"/>
      <c r="I44" s="58"/>
      <c r="J44" s="58"/>
      <c r="K44" s="58"/>
      <c r="L44" s="89"/>
      <c r="M44" s="89"/>
      <c r="N44" s="89"/>
      <c r="O44" s="89"/>
      <c r="P44" s="2941"/>
      <c r="Q44" s="58"/>
      <c r="R44" s="58"/>
      <c r="S44" s="46"/>
      <c r="T44" s="46"/>
      <c r="U44" s="46"/>
      <c r="V44" s="46"/>
      <c r="W44" s="72"/>
    </row>
    <row r="45" spans="1:23" ht="13.5" hidden="1" thickBot="1" x14ac:dyDescent="0.25">
      <c r="A45" s="53"/>
      <c r="B45" s="65"/>
      <c r="C45" s="65"/>
      <c r="D45" s="73"/>
      <c r="E45" s="55"/>
      <c r="F45" s="73"/>
      <c r="G45" s="74"/>
      <c r="H45" s="55"/>
      <c r="I45" s="55"/>
      <c r="J45" s="55"/>
      <c r="K45" s="55"/>
      <c r="L45" s="55"/>
      <c r="M45" s="55"/>
      <c r="N45" s="55"/>
      <c r="O45" s="55"/>
      <c r="Q45" s="55"/>
      <c r="R45" s="55"/>
      <c r="S45" s="47"/>
      <c r="T45" s="47"/>
      <c r="U45" s="47"/>
      <c r="V45" s="47"/>
    </row>
    <row r="46" spans="1:23" s="60" customFormat="1" ht="13.5" thickBot="1" x14ac:dyDescent="0.25">
      <c r="A46" s="2663" t="s">
        <v>113</v>
      </c>
      <c r="B46" s="2677"/>
      <c r="C46" s="2678"/>
      <c r="D46" s="2718"/>
      <c r="E46" s="2719"/>
      <c r="F46" s="2718"/>
      <c r="G46" s="2719"/>
      <c r="H46" s="2718"/>
      <c r="I46" s="2719"/>
      <c r="J46" s="2720">
        <f>SUM(J47,J48,J51,J52,J53,J55,J56,J57,J58,J59)</f>
        <v>62910.559999999998</v>
      </c>
      <c r="K46" s="2720">
        <f>SUM(K47,K48,K51,K52,K53,K55,K56,K57,K58,K59)</f>
        <v>63152.45</v>
      </c>
      <c r="L46" s="2411">
        <f>L47+L48+L51+L52+L53+L55+L56+L57+L58+L59+L54</f>
        <v>46833</v>
      </c>
      <c r="M46" s="2537">
        <f>M47+M48+M51+M52+M53+M55+M56+M57+M58+M59+M54</f>
        <v>40350</v>
      </c>
      <c r="N46" s="1830">
        <f>N47+N48+N51+N52+N53+N55+N56+N57+N58+N59+N49+N50</f>
        <v>113350</v>
      </c>
      <c r="O46" s="1830">
        <f>O47+O48+O51+O52+O53+O55+O56+O57+O58+O59+O49+O50</f>
        <v>106230</v>
      </c>
      <c r="P46" s="2958">
        <f>P47+P48+P51+P52+P53+P55+P56+P57+P58+P59+P49+P50</f>
        <v>95530</v>
      </c>
      <c r="Q46" s="2721">
        <f>Q47+Q48+Q51+Q52+Q53+Q55+Q56+Q57+Q58+Q59+Q49</f>
        <v>104500</v>
      </c>
      <c r="R46" s="2539">
        <f>R47+R48+R51+R52+R53+R55+R56+R57+R58+R59+R49</f>
        <v>104500</v>
      </c>
      <c r="S46" s="71"/>
      <c r="T46" s="71"/>
      <c r="U46" s="71"/>
      <c r="V46" s="71"/>
    </row>
    <row r="47" spans="1:23" x14ac:dyDescent="0.2">
      <c r="A47" s="3529">
        <v>221</v>
      </c>
      <c r="B47" s="3501" t="s">
        <v>111</v>
      </c>
      <c r="C47" s="3502" t="s">
        <v>114</v>
      </c>
      <c r="D47" s="3504"/>
      <c r="E47" s="3530"/>
      <c r="F47" s="3504"/>
      <c r="G47" s="3503"/>
      <c r="H47" s="3530"/>
      <c r="I47" s="3530"/>
      <c r="J47" s="3531">
        <v>12164.7</v>
      </c>
      <c r="K47" s="3532">
        <v>14383.8</v>
      </c>
      <c r="L47" s="3533">
        <v>16346</v>
      </c>
      <c r="M47" s="3527">
        <v>10000</v>
      </c>
      <c r="N47" s="3534">
        <v>10000</v>
      </c>
      <c r="O47" s="3610">
        <v>8500</v>
      </c>
      <c r="P47" s="3607">
        <v>8500</v>
      </c>
      <c r="Q47" s="3535">
        <v>10000</v>
      </c>
      <c r="R47" s="3536">
        <v>10000</v>
      </c>
      <c r="S47" s="46"/>
      <c r="T47" s="46"/>
      <c r="U47" s="46"/>
      <c r="V47" s="46"/>
    </row>
    <row r="48" spans="1:23" x14ac:dyDescent="0.2">
      <c r="A48" s="1567">
        <v>222</v>
      </c>
      <c r="B48" s="1126" t="s">
        <v>92</v>
      </c>
      <c r="C48" s="883" t="s">
        <v>115</v>
      </c>
      <c r="D48" s="38"/>
      <c r="E48" s="50"/>
      <c r="F48" s="38"/>
      <c r="G48" s="37"/>
      <c r="H48" s="50"/>
      <c r="I48" s="50"/>
      <c r="J48" s="1638">
        <v>3571.81</v>
      </c>
      <c r="K48" s="1829">
        <v>3330.65</v>
      </c>
      <c r="L48" s="3291">
        <v>5222</v>
      </c>
      <c r="M48" s="2015">
        <v>4000</v>
      </c>
      <c r="N48" s="3526">
        <v>4000</v>
      </c>
      <c r="O48" s="3603">
        <v>5000</v>
      </c>
      <c r="P48" s="2954">
        <v>5000</v>
      </c>
      <c r="Q48" s="2022">
        <v>3000</v>
      </c>
      <c r="R48" s="2037">
        <v>3000</v>
      </c>
      <c r="S48" s="46"/>
      <c r="T48" s="46"/>
      <c r="U48" s="46"/>
      <c r="V48" s="46"/>
    </row>
    <row r="49" spans="1:24" x14ac:dyDescent="0.2">
      <c r="A49" s="1567">
        <v>223</v>
      </c>
      <c r="B49" s="1126" t="s">
        <v>94</v>
      </c>
      <c r="C49" s="883" t="s">
        <v>964</v>
      </c>
      <c r="D49" s="38"/>
      <c r="E49" s="50"/>
      <c r="F49" s="38"/>
      <c r="G49" s="37"/>
      <c r="H49" s="50"/>
      <c r="I49" s="50"/>
      <c r="J49" s="1638"/>
      <c r="K49" s="1829"/>
      <c r="L49" s="3291"/>
      <c r="M49" s="2015"/>
      <c r="N49" s="3526">
        <v>68000</v>
      </c>
      <c r="O49" s="3603">
        <v>65000</v>
      </c>
      <c r="P49" s="2954">
        <v>60000</v>
      </c>
      <c r="Q49" s="2022">
        <v>70000</v>
      </c>
      <c r="R49" s="2037">
        <v>70000</v>
      </c>
      <c r="S49" s="46"/>
      <c r="T49" s="46"/>
      <c r="U49" s="46"/>
      <c r="V49" s="46"/>
    </row>
    <row r="50" spans="1:24" x14ac:dyDescent="0.2">
      <c r="A50" s="1567">
        <v>223</v>
      </c>
      <c r="B50" s="1126" t="s">
        <v>94</v>
      </c>
      <c r="C50" s="883" t="s">
        <v>965</v>
      </c>
      <c r="D50" s="38"/>
      <c r="E50" s="50"/>
      <c r="F50" s="38"/>
      <c r="G50" s="37"/>
      <c r="H50" s="50"/>
      <c r="I50" s="50"/>
      <c r="J50" s="1638"/>
      <c r="K50" s="1829"/>
      <c r="L50" s="3291"/>
      <c r="M50" s="2015"/>
      <c r="N50" s="3526">
        <v>5000</v>
      </c>
      <c r="O50" s="3603">
        <v>5700</v>
      </c>
      <c r="P50" s="2954">
        <v>0</v>
      </c>
      <c r="Q50" s="2022"/>
      <c r="R50" s="2037"/>
      <c r="S50" s="46"/>
      <c r="T50" s="46"/>
      <c r="U50" s="46"/>
      <c r="V50" s="46"/>
    </row>
    <row r="51" spans="1:24" x14ac:dyDescent="0.2">
      <c r="A51" s="1567">
        <v>223</v>
      </c>
      <c r="B51" s="1126" t="s">
        <v>94</v>
      </c>
      <c r="C51" s="883" t="s">
        <v>116</v>
      </c>
      <c r="D51" s="38"/>
      <c r="E51" s="50"/>
      <c r="F51" s="38"/>
      <c r="G51" s="37"/>
      <c r="H51" s="50"/>
      <c r="I51" s="50"/>
      <c r="J51" s="1638">
        <v>114</v>
      </c>
      <c r="K51" s="1829">
        <v>128</v>
      </c>
      <c r="L51" s="3291">
        <v>178</v>
      </c>
      <c r="M51" s="2015">
        <v>200</v>
      </c>
      <c r="N51" s="3526">
        <v>200</v>
      </c>
      <c r="O51" s="3603">
        <v>230</v>
      </c>
      <c r="P51" s="2954">
        <v>230</v>
      </c>
      <c r="Q51" s="2022">
        <v>200</v>
      </c>
      <c r="R51" s="2037">
        <v>200</v>
      </c>
      <c r="S51" s="46"/>
      <c r="T51" s="46"/>
      <c r="U51" s="46"/>
      <c r="V51" s="46"/>
    </row>
    <row r="52" spans="1:24" x14ac:dyDescent="0.2">
      <c r="A52" s="1567">
        <v>223</v>
      </c>
      <c r="B52" s="1453" t="s">
        <v>94</v>
      </c>
      <c r="C52" s="883" t="s">
        <v>42</v>
      </c>
      <c r="D52" s="38"/>
      <c r="E52" s="50"/>
      <c r="F52" s="38"/>
      <c r="G52" s="37"/>
      <c r="H52" s="50"/>
      <c r="I52" s="50"/>
      <c r="J52" s="1638">
        <v>8894.8700000000008</v>
      </c>
      <c r="K52" s="1829">
        <v>8035</v>
      </c>
      <c r="L52" s="3291">
        <v>5861</v>
      </c>
      <c r="M52" s="2015">
        <v>10000</v>
      </c>
      <c r="N52" s="3526">
        <v>10000</v>
      </c>
      <c r="O52" s="3603">
        <v>4500</v>
      </c>
      <c r="P52" s="2954">
        <v>4500</v>
      </c>
      <c r="Q52" s="2022">
        <v>5000</v>
      </c>
      <c r="R52" s="2037">
        <v>5000</v>
      </c>
      <c r="S52" s="46"/>
      <c r="T52" s="46"/>
      <c r="U52" s="46"/>
      <c r="V52" s="46"/>
    </row>
    <row r="53" spans="1:24" x14ac:dyDescent="0.2">
      <c r="A53" s="1567">
        <v>223</v>
      </c>
      <c r="B53" s="1453" t="s">
        <v>94</v>
      </c>
      <c r="C53" s="883" t="s">
        <v>707</v>
      </c>
      <c r="D53" s="38"/>
      <c r="E53" s="50"/>
      <c r="F53" s="38"/>
      <c r="G53" s="37"/>
      <c r="H53" s="50"/>
      <c r="I53" s="50"/>
      <c r="J53" s="1638">
        <v>11347.82</v>
      </c>
      <c r="K53" s="1829">
        <v>17455</v>
      </c>
      <c r="L53" s="3291">
        <v>10794</v>
      </c>
      <c r="M53" s="2015">
        <v>9000</v>
      </c>
      <c r="N53" s="3526">
        <v>9000</v>
      </c>
      <c r="O53" s="3611">
        <v>9000</v>
      </c>
      <c r="P53" s="2949">
        <v>9000</v>
      </c>
      <c r="Q53" s="2022">
        <v>9000</v>
      </c>
      <c r="R53" s="2037">
        <v>9000</v>
      </c>
      <c r="S53" s="46"/>
      <c r="T53" s="46"/>
      <c r="U53" s="46"/>
      <c r="V53" s="46"/>
    </row>
    <row r="54" spans="1:24" x14ac:dyDescent="0.2">
      <c r="A54" s="1567">
        <v>223</v>
      </c>
      <c r="B54" s="1453" t="s">
        <v>94</v>
      </c>
      <c r="C54" s="883" t="s">
        <v>762</v>
      </c>
      <c r="D54" s="38"/>
      <c r="E54" s="50"/>
      <c r="F54" s="38"/>
      <c r="G54" s="37"/>
      <c r="H54" s="50"/>
      <c r="I54" s="50"/>
      <c r="J54" s="1638">
        <v>11607.95</v>
      </c>
      <c r="K54" s="1829"/>
      <c r="L54" s="3291"/>
      <c r="M54" s="2015"/>
      <c r="N54" s="3526"/>
      <c r="O54" s="3611"/>
      <c r="P54" s="2949"/>
      <c r="Q54" s="2022">
        <v>0</v>
      </c>
      <c r="R54" s="2037">
        <v>0</v>
      </c>
      <c r="S54" s="46"/>
      <c r="T54" s="46"/>
      <c r="U54" s="46"/>
      <c r="V54"/>
    </row>
    <row r="55" spans="1:24" x14ac:dyDescent="0.2">
      <c r="A55" s="1567">
        <v>223</v>
      </c>
      <c r="B55" s="1453" t="s">
        <v>97</v>
      </c>
      <c r="C55" s="883" t="s">
        <v>117</v>
      </c>
      <c r="D55" s="38"/>
      <c r="E55" s="50"/>
      <c r="F55" s="38"/>
      <c r="G55" s="37"/>
      <c r="H55" s="50"/>
      <c r="I55" s="50"/>
      <c r="J55" s="1638">
        <v>0</v>
      </c>
      <c r="K55" s="1829"/>
      <c r="L55" s="3291">
        <v>0</v>
      </c>
      <c r="M55" s="2015">
        <v>0</v>
      </c>
      <c r="N55" s="3526">
        <v>0</v>
      </c>
      <c r="O55" s="3611">
        <v>0</v>
      </c>
      <c r="P55" s="2949">
        <v>0</v>
      </c>
      <c r="Q55" s="2722">
        <v>0</v>
      </c>
      <c r="R55" s="2038">
        <v>0</v>
      </c>
      <c r="S55" s="46"/>
      <c r="T55" s="46"/>
      <c r="U55" s="46"/>
      <c r="V55" s="46"/>
      <c r="W55" s="78"/>
      <c r="X55" s="53"/>
    </row>
    <row r="56" spans="1:24" x14ac:dyDescent="0.2">
      <c r="A56" s="1567">
        <v>223</v>
      </c>
      <c r="B56" s="1453" t="s">
        <v>92</v>
      </c>
      <c r="C56" s="883" t="s">
        <v>118</v>
      </c>
      <c r="D56" s="38"/>
      <c r="E56" s="50"/>
      <c r="F56" s="38"/>
      <c r="G56" s="37"/>
      <c r="H56" s="50"/>
      <c r="I56" s="50"/>
      <c r="J56" s="1638">
        <v>0</v>
      </c>
      <c r="K56" s="1829"/>
      <c r="L56" s="3291">
        <v>0</v>
      </c>
      <c r="M56" s="2015">
        <v>0</v>
      </c>
      <c r="N56" s="3526">
        <v>0</v>
      </c>
      <c r="O56" s="3611">
        <v>0</v>
      </c>
      <c r="P56" s="2949">
        <v>0</v>
      </c>
      <c r="Q56" s="2022">
        <v>0</v>
      </c>
      <c r="R56" s="2037">
        <v>0</v>
      </c>
      <c r="S56" s="46"/>
      <c r="T56" s="46"/>
      <c r="U56" s="46"/>
      <c r="V56" s="46"/>
      <c r="W56" s="79"/>
    </row>
    <row r="57" spans="1:24" x14ac:dyDescent="0.2">
      <c r="A57" s="1567">
        <v>223</v>
      </c>
      <c r="B57" s="1453" t="s">
        <v>92</v>
      </c>
      <c r="C57" s="883" t="s">
        <v>750</v>
      </c>
      <c r="D57" s="50"/>
      <c r="E57" s="80"/>
      <c r="F57" s="50"/>
      <c r="G57" s="61"/>
      <c r="H57" s="80"/>
      <c r="I57" s="80"/>
      <c r="J57" s="1638">
        <v>26817.360000000001</v>
      </c>
      <c r="K57" s="1829"/>
      <c r="L57" s="3291">
        <v>6977</v>
      </c>
      <c r="M57" s="2687">
        <v>7000</v>
      </c>
      <c r="N57" s="3528">
        <v>7000</v>
      </c>
      <c r="O57" s="3611">
        <v>0</v>
      </c>
      <c r="P57" s="2949">
        <v>0</v>
      </c>
      <c r="Q57" s="2021">
        <v>7000</v>
      </c>
      <c r="R57" s="2045">
        <v>7000</v>
      </c>
      <c r="S57" s="46"/>
      <c r="T57" s="46"/>
      <c r="U57" s="46"/>
      <c r="V57" s="46"/>
    </row>
    <row r="58" spans="1:24" x14ac:dyDescent="0.2">
      <c r="A58" s="1567">
        <v>223</v>
      </c>
      <c r="B58" s="1453" t="s">
        <v>92</v>
      </c>
      <c r="C58" s="883" t="s">
        <v>119</v>
      </c>
      <c r="D58" s="50"/>
      <c r="E58" s="50"/>
      <c r="F58" s="50"/>
      <c r="G58" s="61"/>
      <c r="H58" s="50"/>
      <c r="I58" s="870"/>
      <c r="J58" s="1638">
        <v>0</v>
      </c>
      <c r="K58" s="1829">
        <v>19751</v>
      </c>
      <c r="L58" s="3291">
        <v>0</v>
      </c>
      <c r="M58" s="2015">
        <v>0</v>
      </c>
      <c r="N58" s="3526">
        <v>0</v>
      </c>
      <c r="O58" s="3603">
        <v>8000</v>
      </c>
      <c r="P58" s="2954">
        <v>8000</v>
      </c>
      <c r="Q58" s="2033">
        <v>0</v>
      </c>
      <c r="R58" s="2048">
        <v>0</v>
      </c>
      <c r="S58" s="46"/>
      <c r="T58" s="46"/>
      <c r="U58" s="46"/>
      <c r="V58" s="46"/>
    </row>
    <row r="59" spans="1:24" ht="13.5" thickBot="1" x14ac:dyDescent="0.25">
      <c r="A59" s="1582">
        <v>229</v>
      </c>
      <c r="B59" s="3537" t="s">
        <v>120</v>
      </c>
      <c r="C59" s="1517" t="s">
        <v>121</v>
      </c>
      <c r="D59" s="1811"/>
      <c r="E59" s="1811"/>
      <c r="F59" s="1811"/>
      <c r="G59" s="1816"/>
      <c r="H59" s="1811"/>
      <c r="I59" s="1811"/>
      <c r="J59" s="2012">
        <v>0</v>
      </c>
      <c r="K59" s="2046">
        <v>69</v>
      </c>
      <c r="L59" s="2137">
        <v>1455</v>
      </c>
      <c r="M59" s="2012">
        <v>150</v>
      </c>
      <c r="N59" s="1519">
        <v>150</v>
      </c>
      <c r="O59" s="3615">
        <v>300</v>
      </c>
      <c r="P59" s="2957">
        <v>300</v>
      </c>
      <c r="Q59" s="2723">
        <v>300</v>
      </c>
      <c r="R59" s="2047">
        <v>300</v>
      </c>
      <c r="S59" s="46"/>
      <c r="T59" s="46"/>
      <c r="U59" s="46"/>
      <c r="V59" s="46"/>
      <c r="W59" s="81"/>
    </row>
    <row r="60" spans="1:24" ht="13.5" thickBot="1" x14ac:dyDescent="0.25">
      <c r="A60" s="53"/>
      <c r="B60" s="65"/>
      <c r="C60" s="65"/>
      <c r="D60" s="54"/>
      <c r="E60" s="55"/>
      <c r="F60" s="54"/>
      <c r="G60" s="56"/>
      <c r="H60" s="55"/>
      <c r="I60" s="55"/>
      <c r="J60" s="55"/>
      <c r="K60" s="55"/>
      <c r="L60" s="55"/>
      <c r="M60" s="55"/>
      <c r="N60" s="55"/>
      <c r="O60" s="55"/>
      <c r="P60" s="2941"/>
      <c r="Q60" s="55"/>
      <c r="R60" s="55"/>
      <c r="S60" s="47"/>
      <c r="T60" s="47"/>
      <c r="U60" s="47"/>
      <c r="V60" s="47"/>
    </row>
    <row r="61" spans="1:24" s="60" customFormat="1" ht="13.5" thickBot="1" x14ac:dyDescent="0.25">
      <c r="A61" s="2663" t="s">
        <v>122</v>
      </c>
      <c r="B61" s="2677"/>
      <c r="C61" s="2678"/>
      <c r="D61" s="2718"/>
      <c r="E61" s="2719"/>
      <c r="F61" s="2718"/>
      <c r="G61" s="2719"/>
      <c r="H61" s="2718"/>
      <c r="I61" s="2719"/>
      <c r="J61" s="2537">
        <f>SUM(J62,J63,J64,J65,J66,J68)+J67</f>
        <v>10013.42</v>
      </c>
      <c r="K61" s="2537">
        <f>SUM(K62,K63,K64,K65,K66,K68)+K67</f>
        <v>7830</v>
      </c>
      <c r="L61" s="2411">
        <f>L62+L63+L64+L65+L66+L68+L67</f>
        <v>4638</v>
      </c>
      <c r="M61" s="1813">
        <f>M62+M63+M64+M65+M66+M68+M67</f>
        <v>150</v>
      </c>
      <c r="N61" s="2536">
        <f>N62+N63+N64+N65+N66+N68+N67</f>
        <v>11150</v>
      </c>
      <c r="O61" s="2537">
        <f>O62+O63+O64+O65+O66+O68+O67</f>
        <v>12550</v>
      </c>
      <c r="P61" s="2952">
        <f>P62+P63+P64+P65+P66+P68+P67</f>
        <v>1550</v>
      </c>
      <c r="Q61" s="2538">
        <f>Q62+Q63+Q64+Q65+Q66+Q68</f>
        <v>200</v>
      </c>
      <c r="R61" s="2539">
        <f>R62+R63+R64+R65+R66+R68</f>
        <v>250</v>
      </c>
      <c r="S61" s="71"/>
      <c r="T61" s="71"/>
      <c r="U61" s="71"/>
      <c r="V61" s="71"/>
    </row>
    <row r="62" spans="1:24" s="20" customFormat="1" x14ac:dyDescent="0.2">
      <c r="A62" s="2519">
        <v>242</v>
      </c>
      <c r="B62" s="2519"/>
      <c r="C62" s="1138" t="s">
        <v>123</v>
      </c>
      <c r="D62" s="82"/>
      <c r="E62" s="82"/>
      <c r="F62" s="82"/>
      <c r="G62" s="83"/>
      <c r="H62" s="82"/>
      <c r="I62" s="82"/>
      <c r="J62" s="1666">
        <v>0.03</v>
      </c>
      <c r="K62" s="2136"/>
      <c r="L62" s="3290">
        <v>0</v>
      </c>
      <c r="M62" s="3541">
        <v>0</v>
      </c>
      <c r="N62" s="3538">
        <v>0</v>
      </c>
      <c r="O62" s="3613">
        <v>0</v>
      </c>
      <c r="P62" s="3297">
        <v>0</v>
      </c>
      <c r="Q62" s="2027">
        <v>0</v>
      </c>
      <c r="R62" s="2039">
        <v>0</v>
      </c>
      <c r="S62" s="46"/>
      <c r="T62" s="46"/>
      <c r="U62" s="46"/>
      <c r="V62" s="46"/>
    </row>
    <row r="63" spans="1:24" s="20" customFormat="1" x14ac:dyDescent="0.2">
      <c r="A63" s="1126">
        <v>242</v>
      </c>
      <c r="B63" s="1126"/>
      <c r="C63" s="1089" t="s">
        <v>124</v>
      </c>
      <c r="D63" s="38"/>
      <c r="E63" s="38"/>
      <c r="F63" s="38"/>
      <c r="G63" s="37"/>
      <c r="H63" s="38"/>
      <c r="I63" s="38"/>
      <c r="J63" s="1638">
        <v>0</v>
      </c>
      <c r="K63" s="1829"/>
      <c r="L63" s="3291"/>
      <c r="M63" s="3497"/>
      <c r="N63" s="3539"/>
      <c r="O63" s="3614"/>
      <c r="P63" s="2967"/>
      <c r="Q63" s="2018"/>
      <c r="R63" s="2040"/>
      <c r="S63" s="46"/>
      <c r="T63" s="46"/>
      <c r="U63" s="46"/>
      <c r="V63" s="46"/>
    </row>
    <row r="64" spans="1:24" s="20" customFormat="1" x14ac:dyDescent="0.2">
      <c r="A64" s="1126">
        <v>292</v>
      </c>
      <c r="B64" s="1126" t="s">
        <v>125</v>
      </c>
      <c r="C64" s="1089" t="s">
        <v>126</v>
      </c>
      <c r="D64" s="82"/>
      <c r="E64" s="82"/>
      <c r="F64" s="82"/>
      <c r="G64" s="83"/>
      <c r="H64" s="82"/>
      <c r="I64" s="82"/>
      <c r="J64" s="1638">
        <v>34.81</v>
      </c>
      <c r="K64" s="1829"/>
      <c r="L64" s="3291">
        <v>0</v>
      </c>
      <c r="M64" s="3542">
        <v>0</v>
      </c>
      <c r="N64" s="3538">
        <v>0</v>
      </c>
      <c r="O64" s="3614">
        <v>0</v>
      </c>
      <c r="P64" s="2967">
        <v>0</v>
      </c>
      <c r="Q64" s="2027">
        <v>0</v>
      </c>
      <c r="R64" s="2039">
        <v>0</v>
      </c>
      <c r="S64" s="46"/>
      <c r="T64" s="46"/>
      <c r="U64" s="46"/>
      <c r="V64" s="46"/>
    </row>
    <row r="65" spans="1:23" x14ac:dyDescent="0.2">
      <c r="A65" s="1453">
        <v>292</v>
      </c>
      <c r="B65" s="1453" t="s">
        <v>127</v>
      </c>
      <c r="C65" s="1089" t="s">
        <v>128</v>
      </c>
      <c r="D65" s="86"/>
      <c r="E65" s="44"/>
      <c r="F65" s="86"/>
      <c r="G65" s="87"/>
      <c r="H65" s="44"/>
      <c r="I65" s="44"/>
      <c r="J65" s="1475">
        <v>363.34</v>
      </c>
      <c r="K65" s="1829">
        <v>397</v>
      </c>
      <c r="L65" s="3291">
        <v>150</v>
      </c>
      <c r="M65" s="3495">
        <v>150</v>
      </c>
      <c r="N65" s="3540">
        <v>150</v>
      </c>
      <c r="O65" s="3603">
        <v>50</v>
      </c>
      <c r="P65" s="2954">
        <v>50</v>
      </c>
      <c r="Q65" s="2019">
        <v>200</v>
      </c>
      <c r="R65" s="2036">
        <v>250</v>
      </c>
      <c r="S65" s="46"/>
      <c r="T65" s="46"/>
      <c r="U65" s="46"/>
      <c r="V65" s="46"/>
    </row>
    <row r="66" spans="1:23" x14ac:dyDescent="0.2">
      <c r="A66" s="1453">
        <v>292</v>
      </c>
      <c r="B66" s="1453" t="s">
        <v>129</v>
      </c>
      <c r="C66" s="1089" t="s">
        <v>130</v>
      </c>
      <c r="D66" s="86"/>
      <c r="E66" s="44"/>
      <c r="F66" s="86"/>
      <c r="G66" s="87"/>
      <c r="H66" s="44"/>
      <c r="I66" s="44"/>
      <c r="J66" s="1475">
        <v>67.89</v>
      </c>
      <c r="K66" s="1829">
        <v>311</v>
      </c>
      <c r="L66" s="3291">
        <v>120</v>
      </c>
      <c r="M66" s="3495"/>
      <c r="N66" s="3540"/>
      <c r="O66" s="3603">
        <v>1000</v>
      </c>
      <c r="P66" s="2954">
        <v>1000</v>
      </c>
      <c r="Q66" s="2019"/>
      <c r="R66" s="2036"/>
      <c r="S66" s="46"/>
      <c r="T66" s="46"/>
      <c r="U66" s="46"/>
      <c r="V66" s="46"/>
    </row>
    <row r="67" spans="1:23" x14ac:dyDescent="0.2">
      <c r="A67" s="1453">
        <v>292</v>
      </c>
      <c r="B67" s="1453" t="s">
        <v>102</v>
      </c>
      <c r="C67" s="1089" t="s">
        <v>763</v>
      </c>
      <c r="D67" s="86"/>
      <c r="E67" s="44"/>
      <c r="F67" s="86"/>
      <c r="G67" s="87"/>
      <c r="H67" s="44"/>
      <c r="I67" s="44"/>
      <c r="J67" s="1475">
        <v>6774.34</v>
      </c>
      <c r="K67" s="1829">
        <v>6036</v>
      </c>
      <c r="L67" s="3291">
        <v>4190</v>
      </c>
      <c r="M67" s="3495">
        <v>0</v>
      </c>
      <c r="N67" s="3540">
        <v>11000</v>
      </c>
      <c r="O67" s="3603">
        <v>11000</v>
      </c>
      <c r="P67" s="2954">
        <v>0</v>
      </c>
      <c r="Q67" s="2019">
        <v>0</v>
      </c>
      <c r="R67" s="2036">
        <v>0</v>
      </c>
      <c r="S67" s="46"/>
      <c r="T67" s="46"/>
      <c r="U67" s="46"/>
      <c r="V67" s="46"/>
    </row>
    <row r="68" spans="1:23" ht="13.5" thickBot="1" x14ac:dyDescent="0.25">
      <c r="A68" s="2724">
        <v>292</v>
      </c>
      <c r="B68" s="2724" t="s">
        <v>131</v>
      </c>
      <c r="C68" s="1089" t="s">
        <v>132</v>
      </c>
      <c r="D68" s="86"/>
      <c r="E68" s="44"/>
      <c r="F68" s="86"/>
      <c r="G68" s="87"/>
      <c r="H68" s="44"/>
      <c r="I68" s="44"/>
      <c r="J68" s="2507">
        <v>2773.01</v>
      </c>
      <c r="K68" s="1857">
        <v>1086</v>
      </c>
      <c r="L68" s="3292">
        <v>178</v>
      </c>
      <c r="M68" s="3499">
        <v>0</v>
      </c>
      <c r="N68" s="3540">
        <v>0</v>
      </c>
      <c r="O68" s="3604">
        <v>500</v>
      </c>
      <c r="P68" s="2957">
        <v>500</v>
      </c>
      <c r="Q68" s="2019">
        <v>0</v>
      </c>
      <c r="R68" s="2036">
        <v>0</v>
      </c>
      <c r="S68" s="46"/>
      <c r="T68" s="46"/>
      <c r="U68" s="46"/>
      <c r="V68" s="46"/>
      <c r="W68" s="72"/>
    </row>
    <row r="69" spans="1:23" ht="13.5" thickBot="1" x14ac:dyDescent="0.25">
      <c r="A69" s="3707" t="s">
        <v>133</v>
      </c>
      <c r="B69" s="3708"/>
      <c r="C69" s="3708"/>
      <c r="D69" s="2694"/>
      <c r="E69" s="2689"/>
      <c r="F69" s="2694"/>
      <c r="G69" s="2689"/>
      <c r="H69" s="2694"/>
      <c r="I69" s="2689"/>
      <c r="J69" s="2725">
        <f>J38+J46+J61</f>
        <v>200386.4</v>
      </c>
      <c r="K69" s="2725">
        <f>SUM(K38,K46,K61)</f>
        <v>275917.64</v>
      </c>
      <c r="L69" s="2694">
        <f>L38+L46+L61</f>
        <v>198132</v>
      </c>
      <c r="M69" s="2726">
        <f>M38+M46+M61</f>
        <v>92500</v>
      </c>
      <c r="N69" s="2693">
        <f>SUM(N38,N46,N61)</f>
        <v>176500</v>
      </c>
      <c r="O69" s="2694">
        <f>SUM(O38,O46,O61)</f>
        <v>170780</v>
      </c>
      <c r="P69" s="2846">
        <f>SUM(P38,P46,P61)</f>
        <v>149080</v>
      </c>
      <c r="Q69" s="2725">
        <f>SUM(Q38,Q46,Q61)</f>
        <v>149700</v>
      </c>
      <c r="R69" s="2726">
        <f>SUM(R38,R46,R61)</f>
        <v>149750</v>
      </c>
      <c r="S69" s="71"/>
      <c r="T69" s="71"/>
      <c r="U69" s="71"/>
      <c r="V69" s="71"/>
    </row>
    <row r="70" spans="1:23" x14ac:dyDescent="0.2">
      <c r="A70" s="88"/>
      <c r="B70" s="88"/>
      <c r="C70" s="65"/>
      <c r="D70" s="89"/>
      <c r="E70" s="58"/>
      <c r="F70" s="89"/>
      <c r="G70" s="90"/>
      <c r="H70" s="58"/>
      <c r="I70" s="58"/>
      <c r="J70" s="58"/>
      <c r="K70" s="58"/>
      <c r="L70" s="58"/>
      <c r="M70" s="67"/>
      <c r="N70" s="67"/>
      <c r="O70" s="67"/>
      <c r="P70" s="2941"/>
      <c r="Q70" s="67"/>
      <c r="R70" s="55"/>
      <c r="S70" s="68"/>
      <c r="T70" s="68"/>
      <c r="U70" s="68"/>
      <c r="V70" s="47"/>
    </row>
    <row r="71" spans="1:23" hidden="1" x14ac:dyDescent="0.2">
      <c r="A71" s="88"/>
      <c r="B71" s="88"/>
      <c r="C71" s="65"/>
      <c r="D71" s="89"/>
      <c r="E71" s="58"/>
      <c r="F71" s="89"/>
      <c r="G71" s="90"/>
      <c r="H71" s="58"/>
      <c r="I71" s="58"/>
      <c r="J71" s="58"/>
      <c r="K71" s="58"/>
      <c r="L71" s="58"/>
      <c r="M71" s="67"/>
      <c r="N71" s="67"/>
      <c r="O71" s="67"/>
      <c r="P71" s="2941"/>
      <c r="Q71" s="67"/>
      <c r="R71" s="55"/>
      <c r="S71" s="68"/>
      <c r="T71" s="68"/>
      <c r="U71" s="68"/>
      <c r="V71" s="47"/>
    </row>
    <row r="72" spans="1:23" hidden="1" x14ac:dyDescent="0.2">
      <c r="A72" s="88"/>
      <c r="B72" s="88"/>
      <c r="C72" s="65"/>
      <c r="D72" s="89"/>
      <c r="E72" s="58"/>
      <c r="F72" s="89"/>
      <c r="G72" s="90"/>
      <c r="H72" s="58"/>
      <c r="I72" s="58"/>
      <c r="J72" s="58"/>
      <c r="K72" s="58"/>
      <c r="L72" s="58"/>
      <c r="M72" s="67"/>
      <c r="N72" s="67"/>
      <c r="O72" s="67"/>
      <c r="P72" s="2941"/>
      <c r="Q72" s="67"/>
      <c r="R72" s="55"/>
      <c r="S72" s="68"/>
      <c r="T72" s="68"/>
      <c r="U72" s="68"/>
      <c r="V72" s="47"/>
    </row>
    <row r="73" spans="1:23" hidden="1" x14ac:dyDescent="0.2">
      <c r="A73" s="88"/>
      <c r="B73" s="88"/>
      <c r="C73" s="65"/>
      <c r="D73" s="89"/>
      <c r="E73" s="58"/>
      <c r="F73" s="89"/>
      <c r="G73" s="90"/>
      <c r="H73" s="58"/>
      <c r="I73" s="58"/>
      <c r="J73" s="58"/>
      <c r="K73" s="58"/>
      <c r="L73" s="58"/>
      <c r="M73" s="67"/>
      <c r="N73" s="67"/>
      <c r="O73" s="67"/>
      <c r="P73" s="2941"/>
      <c r="Q73" s="67"/>
      <c r="R73" s="55"/>
      <c r="S73" s="68"/>
      <c r="T73" s="68"/>
      <c r="U73" s="68"/>
      <c r="V73" s="47"/>
    </row>
    <row r="74" spans="1:23" hidden="1" x14ac:dyDescent="0.2">
      <c r="A74" s="88"/>
      <c r="B74" s="88"/>
      <c r="C74" s="65"/>
      <c r="D74" s="89"/>
      <c r="E74" s="58"/>
      <c r="F74" s="89"/>
      <c r="G74" s="90"/>
      <c r="H74" s="58"/>
      <c r="I74" s="58"/>
      <c r="J74" s="58"/>
      <c r="K74" s="58"/>
      <c r="L74" s="58"/>
      <c r="M74" s="67"/>
      <c r="N74" s="67"/>
      <c r="O74" s="67"/>
      <c r="P74" s="2941"/>
      <c r="Q74" s="67"/>
      <c r="R74" s="55"/>
      <c r="S74" s="68"/>
      <c r="T74" s="68"/>
      <c r="U74" s="68"/>
      <c r="V74" s="47"/>
    </row>
    <row r="75" spans="1:23" hidden="1" x14ac:dyDescent="0.2">
      <c r="A75" s="88"/>
      <c r="B75" s="88"/>
      <c r="C75" s="65"/>
      <c r="D75" s="89"/>
      <c r="E75" s="58"/>
      <c r="F75" s="89"/>
      <c r="G75" s="90"/>
      <c r="H75" s="58"/>
      <c r="I75" s="58"/>
      <c r="J75" s="58"/>
      <c r="K75" s="58"/>
      <c r="L75" s="58"/>
      <c r="M75" s="67"/>
      <c r="N75" s="67"/>
      <c r="O75" s="67"/>
      <c r="P75" s="2941"/>
      <c r="Q75" s="67"/>
      <c r="R75" s="55"/>
      <c r="S75" s="68"/>
      <c r="T75" s="68"/>
      <c r="U75" s="68"/>
      <c r="V75" s="47"/>
    </row>
    <row r="76" spans="1:23" hidden="1" x14ac:dyDescent="0.2">
      <c r="A76" s="88"/>
      <c r="B76" s="88"/>
      <c r="C76" s="65"/>
      <c r="D76" s="89"/>
      <c r="E76" s="58"/>
      <c r="F76" s="89"/>
      <c r="G76" s="90"/>
      <c r="H76" s="58"/>
      <c r="I76" s="58"/>
      <c r="J76" s="58"/>
      <c r="K76" s="58"/>
      <c r="L76" s="58"/>
      <c r="M76" s="67"/>
      <c r="N76" s="67"/>
      <c r="O76" s="67"/>
      <c r="P76" s="2941"/>
      <c r="Q76" s="67"/>
      <c r="R76" s="55"/>
      <c r="S76" s="68"/>
      <c r="T76" s="68"/>
      <c r="U76" s="68"/>
      <c r="V76" s="47"/>
    </row>
    <row r="77" spans="1:23" x14ac:dyDescent="0.2">
      <c r="A77" s="88"/>
      <c r="B77" s="88"/>
      <c r="C77" s="65"/>
      <c r="D77" s="89"/>
      <c r="E77" s="58"/>
      <c r="F77" s="89"/>
      <c r="G77" s="90"/>
      <c r="H77" s="58"/>
      <c r="I77" s="58"/>
      <c r="J77" s="58"/>
      <c r="K77" s="58"/>
      <c r="L77" s="58"/>
      <c r="M77" s="67"/>
      <c r="N77" s="67"/>
      <c r="O77" s="67"/>
      <c r="P77" s="2941"/>
      <c r="Q77" s="67"/>
      <c r="R77" s="55"/>
      <c r="S77" s="68"/>
      <c r="T77" s="68"/>
      <c r="U77" s="68"/>
      <c r="V77" s="47"/>
    </row>
    <row r="78" spans="1:23" ht="16.5" thickBot="1" x14ac:dyDescent="0.3">
      <c r="A78" s="88"/>
      <c r="B78" s="88"/>
      <c r="C78" s="65"/>
      <c r="D78" s="89"/>
      <c r="E78" s="58"/>
      <c r="F78" s="89"/>
      <c r="G78" s="90"/>
      <c r="H78" s="58"/>
      <c r="I78" s="91" t="s">
        <v>134</v>
      </c>
      <c r="J78" s="1090"/>
      <c r="K78" s="1090"/>
      <c r="L78" s="1090"/>
      <c r="M78" s="3705" t="s">
        <v>134</v>
      </c>
      <c r="N78" s="3705"/>
      <c r="O78" s="3705"/>
      <c r="P78" s="3705"/>
      <c r="Q78" s="3705"/>
      <c r="R78" s="3705"/>
      <c r="S78" s="92"/>
      <c r="T78" s="92"/>
      <c r="U78" s="92"/>
      <c r="V78" s="92"/>
    </row>
    <row r="79" spans="1:23" ht="13.5" hidden="1" thickBot="1" x14ac:dyDescent="0.25">
      <c r="A79" s="88"/>
      <c r="B79" s="88"/>
      <c r="C79" s="65"/>
      <c r="D79" s="89"/>
      <c r="E79" s="58"/>
      <c r="F79" s="89"/>
      <c r="G79" s="90"/>
      <c r="H79" s="58"/>
      <c r="I79" s="58"/>
      <c r="J79" s="58"/>
      <c r="K79" s="58"/>
      <c r="L79" s="58"/>
      <c r="M79" s="67"/>
      <c r="N79" s="67"/>
      <c r="O79" s="67"/>
      <c r="Q79" s="67"/>
      <c r="R79" s="55"/>
      <c r="S79" s="68"/>
      <c r="T79" s="68"/>
      <c r="U79" s="68"/>
      <c r="V79" s="47"/>
    </row>
    <row r="80" spans="1:23" ht="23.25" customHeight="1" thickBot="1" x14ac:dyDescent="0.3">
      <c r="A80" s="2701" t="s">
        <v>1</v>
      </c>
      <c r="B80" s="2746"/>
      <c r="C80" s="2703"/>
      <c r="D80" s="2704"/>
      <c r="E80" s="2705"/>
      <c r="F80" s="2704"/>
      <c r="G80" s="2705"/>
      <c r="H80" s="2704"/>
      <c r="I80" s="2705"/>
      <c r="J80" s="2706">
        <v>2018</v>
      </c>
      <c r="K80" s="3174" t="s">
        <v>825</v>
      </c>
      <c r="L80" s="3175" t="s">
        <v>958</v>
      </c>
      <c r="M80" s="2707">
        <v>2021</v>
      </c>
      <c r="N80" s="2654" t="s">
        <v>872</v>
      </c>
      <c r="O80" s="2662" t="s">
        <v>927</v>
      </c>
      <c r="P80" s="2944">
        <v>2022</v>
      </c>
      <c r="Q80" s="2945">
        <v>2023</v>
      </c>
      <c r="R80" s="2946">
        <v>2024</v>
      </c>
      <c r="S80" s="30"/>
      <c r="T80" s="30"/>
      <c r="U80" s="30"/>
      <c r="V80" s="31"/>
    </row>
    <row r="81" spans="1:25" s="34" customFormat="1" ht="13.5" thickBot="1" x14ac:dyDescent="0.25">
      <c r="A81" s="2663" t="s">
        <v>135</v>
      </c>
      <c r="B81" s="2677"/>
      <c r="C81" s="2678"/>
      <c r="D81" s="2718"/>
      <c r="E81" s="2719"/>
      <c r="F81" s="2718"/>
      <c r="G81" s="2719"/>
      <c r="H81" s="2718"/>
      <c r="I81" s="2719"/>
      <c r="J81" s="2718">
        <f>SUM(J82,J83,J84,J85,J86,J87,J88,J94,J95,J96,J97,J98,J99,J101,J102,J103,J104,J105,J108,J109,J111)+J89+J90+J92+J106+J107+J110</f>
        <v>97175.19</v>
      </c>
      <c r="K81" s="2720">
        <f>K82+K87+K88+K96+K98+K100+K105+K107+K108+K111</f>
        <v>101851</v>
      </c>
      <c r="L81" s="2747">
        <f>L82+L83+L84+L85+L86+L87+L88+L94+L95+L96+L97+L98+L99+L101+L102+L103+L104+L105+L108+L109+L111+L106+L107+L110+L100</f>
        <v>131665</v>
      </c>
      <c r="M81" s="1813">
        <f>M82+M83+M85+M86+M87+M94+M95+M96+M97+M98+M101+M102+M103+M104+M108+M111+M105+M84+M99+M109+M106+M107+M110+M89+M100</f>
        <v>107850</v>
      </c>
      <c r="N81" s="1830">
        <f>N82+N83+N85+N86+N87+N88+N94+N95+N96+N97+N98+N101+N102+N103+N104+N111+N105+N108+N109+N84+N99+N106+N107+N110+N100</f>
        <v>190640</v>
      </c>
      <c r="O81" s="2748">
        <f>O82+O83+O85+O86+O87+O88+O94+O95+O96+O97+O98+O101+O102+O103+O104+O111+O105+O108+O109+O84+O99+O106+O107+O110+O100</f>
        <v>179287</v>
      </c>
      <c r="P81" s="2959">
        <f>P82+P83+P85+P86+P87+P88+P94+P95+P96+P97+P98+P101+P102+P103+P104+P111+P105+P108+P109+P84+P99+P106+P107+P110+P100</f>
        <v>92518</v>
      </c>
      <c r="Q81" s="2538">
        <f>SUM(Q82:Q111)</f>
        <v>105370</v>
      </c>
      <c r="R81" s="2539">
        <f>SUM(R82:R111)</f>
        <v>99900</v>
      </c>
      <c r="S81" s="71"/>
      <c r="T81" s="71"/>
      <c r="U81" s="71"/>
      <c r="V81" s="71"/>
    </row>
    <row r="82" spans="1:25" s="34" customFormat="1" x14ac:dyDescent="0.2">
      <c r="A82" s="3500">
        <v>312</v>
      </c>
      <c r="B82" s="3501" t="s">
        <v>94</v>
      </c>
      <c r="C82" s="3502" t="s">
        <v>698</v>
      </c>
      <c r="D82" s="3550"/>
      <c r="E82" s="3504"/>
      <c r="F82" s="3504"/>
      <c r="G82" s="3551"/>
      <c r="H82" s="3504"/>
      <c r="I82" s="3504"/>
      <c r="J82" s="3531">
        <v>1500</v>
      </c>
      <c r="K82" s="3532">
        <v>0</v>
      </c>
      <c r="L82" s="3533">
        <v>1500</v>
      </c>
      <c r="M82" s="3525">
        <v>1500</v>
      </c>
      <c r="N82" s="3552">
        <v>1500</v>
      </c>
      <c r="O82" s="3610">
        <v>0</v>
      </c>
      <c r="P82" s="3607">
        <v>0</v>
      </c>
      <c r="Q82" s="3553">
        <v>0</v>
      </c>
      <c r="R82" s="3554">
        <v>0</v>
      </c>
      <c r="S82" s="46"/>
      <c r="T82" s="46"/>
      <c r="U82" s="46"/>
      <c r="V82" s="46"/>
    </row>
    <row r="83" spans="1:25" s="34" customFormat="1" x14ac:dyDescent="0.2">
      <c r="A83" s="1561">
        <v>312</v>
      </c>
      <c r="B83" s="1126" t="s">
        <v>94</v>
      </c>
      <c r="C83" s="883" t="s">
        <v>136</v>
      </c>
      <c r="D83" s="38"/>
      <c r="E83" s="38"/>
      <c r="F83" s="38"/>
      <c r="G83" s="37"/>
      <c r="H83" s="38"/>
      <c r="I83" s="38"/>
      <c r="J83" s="1638">
        <v>0</v>
      </c>
      <c r="K83" s="1829"/>
      <c r="L83" s="3291">
        <v>0</v>
      </c>
      <c r="M83" s="3497">
        <v>0</v>
      </c>
      <c r="N83" s="2014">
        <v>0</v>
      </c>
      <c r="O83" s="3611">
        <v>0</v>
      </c>
      <c r="P83" s="2949">
        <v>0</v>
      </c>
      <c r="Q83" s="2143">
        <v>0</v>
      </c>
      <c r="R83" s="3555">
        <v>0</v>
      </c>
      <c r="S83" s="46"/>
      <c r="T83" s="46"/>
      <c r="U83" s="46"/>
      <c r="V83" s="46"/>
    </row>
    <row r="84" spans="1:25" s="34" customFormat="1" x14ac:dyDescent="0.2">
      <c r="A84" s="1561">
        <v>312</v>
      </c>
      <c r="B84" s="1126" t="s">
        <v>94</v>
      </c>
      <c r="C84" s="883" t="s">
        <v>137</v>
      </c>
      <c r="D84" s="38"/>
      <c r="E84" s="38"/>
      <c r="F84" s="38"/>
      <c r="G84" s="37"/>
      <c r="H84" s="38"/>
      <c r="I84" s="38"/>
      <c r="J84" s="1638">
        <v>0</v>
      </c>
      <c r="K84" s="1829"/>
      <c r="L84" s="3291">
        <v>0</v>
      </c>
      <c r="M84" s="3497">
        <v>0</v>
      </c>
      <c r="N84" s="2014">
        <v>0</v>
      </c>
      <c r="O84" s="3611">
        <v>0</v>
      </c>
      <c r="P84" s="2949">
        <v>0</v>
      </c>
      <c r="Q84" s="2143">
        <v>0</v>
      </c>
      <c r="R84" s="3555">
        <v>0</v>
      </c>
      <c r="S84" s="46"/>
      <c r="T84" s="46"/>
      <c r="U84" s="46"/>
      <c r="V84" s="46"/>
    </row>
    <row r="85" spans="1:25" s="34" customFormat="1" x14ac:dyDescent="0.2">
      <c r="A85" s="1561">
        <v>312</v>
      </c>
      <c r="B85" s="1126" t="s">
        <v>94</v>
      </c>
      <c r="C85" s="883" t="s">
        <v>632</v>
      </c>
      <c r="D85" s="93"/>
      <c r="E85" s="38"/>
      <c r="F85" s="93"/>
      <c r="G85" s="94"/>
      <c r="H85" s="38"/>
      <c r="I85" s="38"/>
      <c r="J85" s="1638">
        <v>0</v>
      </c>
      <c r="K85" s="1829"/>
      <c r="L85" s="3291">
        <v>0</v>
      </c>
      <c r="M85" s="3497">
        <v>0</v>
      </c>
      <c r="N85" s="2014">
        <v>0</v>
      </c>
      <c r="O85" s="3611">
        <v>0</v>
      </c>
      <c r="P85" s="2949">
        <v>0</v>
      </c>
      <c r="Q85" s="2143">
        <v>0</v>
      </c>
      <c r="R85" s="3555">
        <v>0</v>
      </c>
      <c r="S85" s="46"/>
      <c r="T85" s="46"/>
      <c r="U85" s="46"/>
      <c r="V85" s="46"/>
    </row>
    <row r="86" spans="1:25" x14ac:dyDescent="0.2">
      <c r="A86" s="1567">
        <v>312</v>
      </c>
      <c r="B86" s="1453" t="s">
        <v>94</v>
      </c>
      <c r="C86" s="883" t="s">
        <v>138</v>
      </c>
      <c r="D86" s="50"/>
      <c r="E86" s="50"/>
      <c r="F86" s="50"/>
      <c r="G86" s="61"/>
      <c r="H86" s="50"/>
      <c r="I86" s="50"/>
      <c r="J86" s="1638">
        <v>0</v>
      </c>
      <c r="K86" s="1829"/>
      <c r="L86" s="3291">
        <v>0</v>
      </c>
      <c r="M86" s="3497">
        <v>0</v>
      </c>
      <c r="N86" s="2014">
        <v>0</v>
      </c>
      <c r="O86" s="3611">
        <v>0</v>
      </c>
      <c r="P86" s="2949">
        <v>0</v>
      </c>
      <c r="Q86" s="2022">
        <v>0</v>
      </c>
      <c r="R86" s="2037">
        <v>0</v>
      </c>
      <c r="S86" s="46"/>
      <c r="T86" s="46"/>
      <c r="U86" s="46"/>
      <c r="V86" s="46"/>
    </row>
    <row r="87" spans="1:25" x14ac:dyDescent="0.2">
      <c r="A87" s="1567">
        <v>312</v>
      </c>
      <c r="B87" s="1453" t="s">
        <v>94</v>
      </c>
      <c r="C87" s="883" t="s">
        <v>139</v>
      </c>
      <c r="D87" s="50"/>
      <c r="E87" s="50"/>
      <c r="F87" s="50"/>
      <c r="G87" s="61"/>
      <c r="H87" s="50"/>
      <c r="I87" s="50"/>
      <c r="J87" s="1638">
        <v>5456.16</v>
      </c>
      <c r="K87" s="1829">
        <v>6098</v>
      </c>
      <c r="L87" s="3291">
        <v>6606</v>
      </c>
      <c r="M87" s="3497">
        <v>6000</v>
      </c>
      <c r="N87" s="2014">
        <v>6000</v>
      </c>
      <c r="O87" s="3603">
        <v>6638</v>
      </c>
      <c r="P87" s="2954">
        <v>6638</v>
      </c>
      <c r="Q87" s="2022">
        <v>6500</v>
      </c>
      <c r="R87" s="2037">
        <v>7000</v>
      </c>
      <c r="S87" s="46"/>
      <c r="T87" s="46"/>
      <c r="U87" s="46"/>
      <c r="V87" s="46"/>
    </row>
    <row r="88" spans="1:25" x14ac:dyDescent="0.2">
      <c r="A88" s="1567">
        <v>312</v>
      </c>
      <c r="B88" s="1453" t="s">
        <v>94</v>
      </c>
      <c r="C88" s="883" t="s">
        <v>140</v>
      </c>
      <c r="D88" s="76"/>
      <c r="E88" s="76"/>
      <c r="F88" s="50"/>
      <c r="G88" s="95"/>
      <c r="H88" s="76"/>
      <c r="I88" s="76"/>
      <c r="J88" s="1638">
        <f>SUM(J89:J91)+J92+J93</f>
        <v>6401.6</v>
      </c>
      <c r="K88" s="1829">
        <v>6737</v>
      </c>
      <c r="L88" s="3291">
        <v>3368</v>
      </c>
      <c r="M88" s="3547">
        <v>3000</v>
      </c>
      <c r="N88" s="2145">
        <v>0</v>
      </c>
      <c r="O88" s="3611">
        <v>0</v>
      </c>
      <c r="P88" s="2949">
        <v>0</v>
      </c>
      <c r="Q88" s="2144">
        <v>3000</v>
      </c>
      <c r="R88" s="2710">
        <v>3000</v>
      </c>
      <c r="S88" s="46"/>
      <c r="T88" s="46"/>
      <c r="U88" s="46"/>
      <c r="V88" s="46"/>
      <c r="W88" s="96"/>
      <c r="X88" s="96"/>
      <c r="Y88" s="96"/>
    </row>
    <row r="89" spans="1:25" x14ac:dyDescent="0.2">
      <c r="A89" s="1567"/>
      <c r="B89" s="1453"/>
      <c r="C89" s="883" t="s">
        <v>700</v>
      </c>
      <c r="D89" s="76"/>
      <c r="E89" s="76"/>
      <c r="F89" s="50"/>
      <c r="G89" s="95"/>
      <c r="H89" s="76"/>
      <c r="I89" s="76"/>
      <c r="J89" s="1638">
        <v>0</v>
      </c>
      <c r="K89" s="1855">
        <v>6737</v>
      </c>
      <c r="L89" s="3546">
        <v>3368</v>
      </c>
      <c r="M89" s="3548">
        <v>3000</v>
      </c>
      <c r="N89" s="3543">
        <v>0</v>
      </c>
      <c r="O89" s="3611">
        <v>0</v>
      </c>
      <c r="P89" s="2949">
        <v>0</v>
      </c>
      <c r="Q89" s="2145"/>
      <c r="R89" s="3486"/>
      <c r="S89" s="46"/>
      <c r="T89" s="46"/>
      <c r="U89" s="46"/>
      <c r="V89" s="46"/>
      <c r="W89" s="96"/>
      <c r="X89" s="96"/>
      <c r="Y89" s="96"/>
    </row>
    <row r="90" spans="1:25" x14ac:dyDescent="0.2">
      <c r="A90" s="1567"/>
      <c r="B90" s="1453"/>
      <c r="C90" s="883" t="s">
        <v>547</v>
      </c>
      <c r="D90" s="76"/>
      <c r="E90" s="76"/>
      <c r="F90" s="50"/>
      <c r="G90" s="95"/>
      <c r="H90" s="76"/>
      <c r="I90" s="76"/>
      <c r="J90" s="1638">
        <v>0</v>
      </c>
      <c r="K90" s="1855"/>
      <c r="L90" s="3484"/>
      <c r="M90" s="3493"/>
      <c r="N90" s="3487"/>
      <c r="O90" s="3611"/>
      <c r="P90" s="2949"/>
      <c r="Q90" s="2145"/>
      <c r="R90" s="3556"/>
      <c r="S90" s="46"/>
      <c r="T90" s="46"/>
      <c r="U90" s="46"/>
      <c r="V90" s="46"/>
      <c r="W90" s="96"/>
      <c r="X90" s="96"/>
      <c r="Y90" s="96"/>
    </row>
    <row r="91" spans="1:25" x14ac:dyDescent="0.2">
      <c r="A91" s="1567"/>
      <c r="B91" s="1453"/>
      <c r="C91" s="883" t="s">
        <v>701</v>
      </c>
      <c r="D91" s="76"/>
      <c r="E91" s="76"/>
      <c r="F91" s="50"/>
      <c r="G91" s="95"/>
      <c r="H91" s="76"/>
      <c r="I91" s="76"/>
      <c r="J91" s="1638">
        <v>4924.76</v>
      </c>
      <c r="K91" s="1855"/>
      <c r="L91" s="3484"/>
      <c r="M91" s="3493"/>
      <c r="N91" s="3487"/>
      <c r="O91" s="3611"/>
      <c r="P91" s="2949"/>
      <c r="Q91" s="2145"/>
      <c r="R91" s="3556"/>
      <c r="S91" s="46"/>
      <c r="T91" s="46"/>
      <c r="U91" s="46"/>
      <c r="V91" s="46"/>
      <c r="W91" s="96"/>
      <c r="X91" s="96"/>
      <c r="Y91" s="96"/>
    </row>
    <row r="92" spans="1:25" x14ac:dyDescent="0.2">
      <c r="A92" s="1567"/>
      <c r="B92" s="1453"/>
      <c r="C92" s="883" t="s">
        <v>764</v>
      </c>
      <c r="D92" s="76"/>
      <c r="E92" s="76"/>
      <c r="F92" s="50"/>
      <c r="G92" s="95"/>
      <c r="H92" s="76"/>
      <c r="I92" s="76"/>
      <c r="J92" s="1638"/>
      <c r="K92" s="1855"/>
      <c r="L92" s="3484"/>
      <c r="M92" s="3493"/>
      <c r="N92" s="3487"/>
      <c r="O92" s="3611"/>
      <c r="P92" s="2949"/>
      <c r="Q92" s="2145"/>
      <c r="R92" s="3556"/>
      <c r="S92" s="46"/>
      <c r="T92" s="46"/>
      <c r="U92" s="46"/>
      <c r="V92" s="46"/>
      <c r="W92" s="96"/>
      <c r="X92" s="96"/>
      <c r="Y92" s="96"/>
    </row>
    <row r="93" spans="1:25" x14ac:dyDescent="0.2">
      <c r="A93" s="1567"/>
      <c r="B93" s="1453"/>
      <c r="C93" s="883" t="s">
        <v>710</v>
      </c>
      <c r="D93" s="76"/>
      <c r="E93" s="76"/>
      <c r="F93" s="50"/>
      <c r="G93" s="95"/>
      <c r="H93" s="76"/>
      <c r="I93" s="76"/>
      <c r="J93" s="1638">
        <v>1476.84</v>
      </c>
      <c r="K93" s="1855"/>
      <c r="L93" s="3484"/>
      <c r="M93" s="3493"/>
      <c r="N93" s="3487"/>
      <c r="O93" s="3611"/>
      <c r="P93" s="2949"/>
      <c r="Q93" s="2145"/>
      <c r="R93" s="3486"/>
      <c r="S93" s="46"/>
      <c r="T93" s="46"/>
      <c r="U93" s="46"/>
      <c r="V93" s="46"/>
      <c r="W93" s="96"/>
      <c r="X93" s="96"/>
      <c r="Y93" s="96"/>
    </row>
    <row r="94" spans="1:25" s="20" customFormat="1" x14ac:dyDescent="0.2">
      <c r="A94" s="1561">
        <v>312</v>
      </c>
      <c r="B94" s="1126" t="s">
        <v>94</v>
      </c>
      <c r="C94" s="883" t="s">
        <v>141</v>
      </c>
      <c r="D94" s="97"/>
      <c r="E94" s="38"/>
      <c r="F94" s="97"/>
      <c r="G94" s="98"/>
      <c r="H94" s="38"/>
      <c r="I94" s="38"/>
      <c r="J94" s="1638">
        <v>0</v>
      </c>
      <c r="K94" s="1829"/>
      <c r="L94" s="3291"/>
      <c r="M94" s="3497"/>
      <c r="N94" s="2014"/>
      <c r="O94" s="3611"/>
      <c r="P94" s="2949"/>
      <c r="Q94" s="2143"/>
      <c r="R94" s="3555"/>
      <c r="S94" s="46"/>
      <c r="T94" s="46"/>
      <c r="U94" s="46"/>
      <c r="V94" s="46"/>
      <c r="W94" s="99"/>
      <c r="X94" s="99"/>
      <c r="Y94" s="99"/>
    </row>
    <row r="95" spans="1:25" s="20" customFormat="1" x14ac:dyDescent="0.2">
      <c r="A95" s="1561">
        <v>312</v>
      </c>
      <c r="B95" s="1126" t="s">
        <v>142</v>
      </c>
      <c r="C95" s="883" t="s">
        <v>711</v>
      </c>
      <c r="D95" s="100"/>
      <c r="E95" s="86"/>
      <c r="F95" s="100"/>
      <c r="G95" s="101"/>
      <c r="H95" s="86"/>
      <c r="I95" s="86"/>
      <c r="J95" s="1638">
        <v>16630</v>
      </c>
      <c r="K95" s="1829"/>
      <c r="L95" s="3291"/>
      <c r="M95" s="3495"/>
      <c r="N95" s="2013"/>
      <c r="O95" s="3611"/>
      <c r="P95" s="2949"/>
      <c r="Q95" s="2146"/>
      <c r="R95" s="3515"/>
      <c r="S95" s="46"/>
      <c r="T95" s="46"/>
      <c r="U95" s="46"/>
      <c r="V95" s="46"/>
      <c r="W95" s="99"/>
      <c r="X95" s="99"/>
      <c r="Y95" s="99"/>
    </row>
    <row r="96" spans="1:25" s="20" customFormat="1" x14ac:dyDescent="0.2">
      <c r="A96" s="1561">
        <v>312</v>
      </c>
      <c r="B96" s="1126" t="s">
        <v>94</v>
      </c>
      <c r="C96" s="883" t="s">
        <v>67</v>
      </c>
      <c r="D96" s="100"/>
      <c r="E96" s="86"/>
      <c r="F96" s="100"/>
      <c r="G96" s="101"/>
      <c r="H96" s="86"/>
      <c r="I96" s="86"/>
      <c r="J96" s="1638">
        <v>0</v>
      </c>
      <c r="K96" s="1829">
        <v>0</v>
      </c>
      <c r="L96" s="3291"/>
      <c r="M96" s="3495"/>
      <c r="N96" s="2013"/>
      <c r="O96" s="3611"/>
      <c r="P96" s="2949"/>
      <c r="Q96" s="2146"/>
      <c r="R96" s="3515"/>
      <c r="S96" s="46"/>
      <c r="T96" s="46"/>
      <c r="U96" s="46"/>
      <c r="V96" s="46"/>
      <c r="W96" s="99"/>
      <c r="X96" s="99"/>
      <c r="Y96" s="99"/>
    </row>
    <row r="97" spans="1:25" s="20" customFormat="1" ht="12.75" customHeight="1" x14ac:dyDescent="0.2">
      <c r="A97" s="1561">
        <v>312</v>
      </c>
      <c r="B97" s="1126" t="s">
        <v>94</v>
      </c>
      <c r="C97" s="883" t="s">
        <v>69</v>
      </c>
      <c r="D97" s="100"/>
      <c r="E97" s="86"/>
      <c r="F97" s="100"/>
      <c r="G97" s="101"/>
      <c r="H97" s="86"/>
      <c r="I97" s="86"/>
      <c r="J97" s="1638">
        <v>0</v>
      </c>
      <c r="K97" s="1829"/>
      <c r="L97" s="3291"/>
      <c r="M97" s="3495"/>
      <c r="N97" s="2013"/>
      <c r="O97" s="3611"/>
      <c r="P97" s="2949"/>
      <c r="Q97" s="2146"/>
      <c r="R97" s="3515"/>
      <c r="S97" s="46"/>
      <c r="T97" s="46"/>
      <c r="U97" s="46"/>
      <c r="V97" s="46"/>
      <c r="W97" s="102"/>
      <c r="X97" s="99"/>
      <c r="Y97" s="103"/>
    </row>
    <row r="98" spans="1:25" s="20" customFormat="1" x14ac:dyDescent="0.2">
      <c r="A98" s="1561">
        <v>312</v>
      </c>
      <c r="B98" s="1126" t="s">
        <v>94</v>
      </c>
      <c r="C98" s="883" t="s">
        <v>143</v>
      </c>
      <c r="D98" s="97"/>
      <c r="E98" s="38"/>
      <c r="F98" s="97"/>
      <c r="G98" s="98"/>
      <c r="H98" s="38"/>
      <c r="I98" s="38"/>
      <c r="J98" s="1638">
        <v>3058.14</v>
      </c>
      <c r="K98" s="1829">
        <v>4679</v>
      </c>
      <c r="L98" s="3291">
        <v>5747</v>
      </c>
      <c r="M98" s="3497">
        <v>3000</v>
      </c>
      <c r="N98" s="2014">
        <v>3000</v>
      </c>
      <c r="O98" s="3603">
        <v>6000</v>
      </c>
      <c r="P98" s="2954">
        <v>3000</v>
      </c>
      <c r="Q98" s="2143">
        <v>3000</v>
      </c>
      <c r="R98" s="3555">
        <v>3000</v>
      </c>
      <c r="S98" s="46"/>
      <c r="T98" s="46"/>
      <c r="U98" s="46"/>
      <c r="V98" s="46"/>
      <c r="W98" s="104"/>
      <c r="X98" s="104"/>
      <c r="Y98" s="104"/>
    </row>
    <row r="99" spans="1:25" s="20" customFormat="1" x14ac:dyDescent="0.2">
      <c r="A99" s="1561">
        <v>312</v>
      </c>
      <c r="B99" s="1126" t="s">
        <v>94</v>
      </c>
      <c r="C99" s="883" t="s">
        <v>144</v>
      </c>
      <c r="D99" s="97"/>
      <c r="E99" s="38"/>
      <c r="F99" s="97"/>
      <c r="G99" s="98"/>
      <c r="H99" s="38"/>
      <c r="I99" s="38"/>
      <c r="J99" s="1638">
        <v>0</v>
      </c>
      <c r="K99" s="1829"/>
      <c r="L99" s="3291">
        <v>1677</v>
      </c>
      <c r="M99" s="3497">
        <v>1000</v>
      </c>
      <c r="N99" s="2014">
        <v>1000</v>
      </c>
      <c r="O99" s="3603">
        <v>0</v>
      </c>
      <c r="P99" s="2954">
        <v>0</v>
      </c>
      <c r="Q99" s="2143">
        <v>1000</v>
      </c>
      <c r="R99" s="3555">
        <v>1000</v>
      </c>
      <c r="S99" s="46"/>
      <c r="T99" s="46"/>
      <c r="U99" s="46"/>
      <c r="V99" s="46"/>
      <c r="W99" s="104"/>
      <c r="X99" s="104"/>
      <c r="Y99" s="104"/>
    </row>
    <row r="100" spans="1:25" s="20" customFormat="1" x14ac:dyDescent="0.2">
      <c r="A100" s="1561">
        <v>312</v>
      </c>
      <c r="B100" s="1126" t="s">
        <v>814</v>
      </c>
      <c r="C100" s="883" t="s">
        <v>815</v>
      </c>
      <c r="D100" s="97"/>
      <c r="E100" s="38"/>
      <c r="F100" s="97"/>
      <c r="G100" s="98"/>
      <c r="H100" s="38"/>
      <c r="I100" s="38"/>
      <c r="J100" s="1638"/>
      <c r="K100" s="1829">
        <v>30088</v>
      </c>
      <c r="L100" s="3291">
        <v>37646</v>
      </c>
      <c r="M100" s="3497">
        <v>20000</v>
      </c>
      <c r="N100" s="2014">
        <v>40000</v>
      </c>
      <c r="O100" s="3603">
        <v>32897</v>
      </c>
      <c r="P100" s="2954">
        <v>5000</v>
      </c>
      <c r="Q100" s="2143">
        <v>15000</v>
      </c>
      <c r="R100" s="3555">
        <v>10000</v>
      </c>
      <c r="S100" s="46"/>
      <c r="T100" s="46"/>
      <c r="U100" s="46"/>
      <c r="V100" s="46"/>
      <c r="W100" s="104"/>
      <c r="X100" s="104"/>
      <c r="Y100" s="104"/>
    </row>
    <row r="101" spans="1:25" s="20" customFormat="1" x14ac:dyDescent="0.2">
      <c r="A101" s="1561">
        <v>312</v>
      </c>
      <c r="B101" s="1126" t="s">
        <v>814</v>
      </c>
      <c r="C101" s="883" t="s">
        <v>816</v>
      </c>
      <c r="D101" s="97"/>
      <c r="E101" s="38"/>
      <c r="F101" s="97"/>
      <c r="G101" s="98"/>
      <c r="H101" s="38"/>
      <c r="I101" s="38"/>
      <c r="J101" s="1638">
        <v>5148.4399999999996</v>
      </c>
      <c r="L101" s="3291"/>
      <c r="M101" s="3497">
        <v>5500</v>
      </c>
      <c r="N101" s="2014">
        <v>6500</v>
      </c>
      <c r="O101" s="3603"/>
      <c r="P101" s="2954"/>
      <c r="Q101" s="2143">
        <v>5500</v>
      </c>
      <c r="R101" s="3555">
        <v>5500</v>
      </c>
      <c r="S101" s="46"/>
      <c r="T101" s="46"/>
      <c r="U101" s="46"/>
      <c r="V101" s="46"/>
    </row>
    <row r="102" spans="1:25" s="20" customFormat="1" x14ac:dyDescent="0.2">
      <c r="A102" s="1561">
        <v>312</v>
      </c>
      <c r="B102" s="1126" t="s">
        <v>94</v>
      </c>
      <c r="C102" s="1089" t="s">
        <v>71</v>
      </c>
      <c r="D102" s="97"/>
      <c r="E102" s="38"/>
      <c r="F102" s="97"/>
      <c r="G102" s="98"/>
      <c r="H102" s="38"/>
      <c r="I102" s="38"/>
      <c r="J102" s="1638">
        <v>0</v>
      </c>
      <c r="K102" s="1829"/>
      <c r="L102" s="3291"/>
      <c r="M102" s="3495"/>
      <c r="N102" s="2013"/>
      <c r="O102" s="3611"/>
      <c r="P102" s="2949"/>
      <c r="Q102" s="2146"/>
      <c r="R102" s="3515"/>
      <c r="S102" s="46"/>
      <c r="T102" s="46"/>
      <c r="U102" s="46"/>
      <c r="V102" s="46"/>
      <c r="W102" s="105"/>
    </row>
    <row r="103" spans="1:25" s="20" customFormat="1" x14ac:dyDescent="0.2">
      <c r="A103" s="1561">
        <v>312</v>
      </c>
      <c r="B103" s="1126" t="s">
        <v>94</v>
      </c>
      <c r="C103" s="883" t="s">
        <v>765</v>
      </c>
      <c r="D103" s="73"/>
      <c r="E103" s="89"/>
      <c r="F103" s="73"/>
      <c r="G103" s="74"/>
      <c r="H103" s="89"/>
      <c r="I103" s="89"/>
      <c r="J103" s="1638">
        <v>0</v>
      </c>
      <c r="K103" s="1829"/>
      <c r="L103" s="3291"/>
      <c r="M103" s="3497"/>
      <c r="N103" s="2014"/>
      <c r="O103" s="3611"/>
      <c r="P103" s="2949"/>
      <c r="Q103" s="2143"/>
      <c r="R103" s="3555"/>
      <c r="S103" s="106"/>
      <c r="T103" s="46"/>
      <c r="U103" s="46"/>
      <c r="V103" s="46"/>
      <c r="W103" s="105"/>
    </row>
    <row r="104" spans="1:25" s="20" customFormat="1" x14ac:dyDescent="0.2">
      <c r="A104" s="1561">
        <v>312</v>
      </c>
      <c r="B104" s="1126" t="s">
        <v>94</v>
      </c>
      <c r="C104" s="1068" t="s">
        <v>755</v>
      </c>
      <c r="D104" s="877"/>
      <c r="E104" s="878"/>
      <c r="F104" s="877"/>
      <c r="G104" s="879"/>
      <c r="H104" s="878"/>
      <c r="I104" s="878"/>
      <c r="J104" s="20">
        <v>0</v>
      </c>
      <c r="K104" s="1829"/>
      <c r="L104" s="3291"/>
      <c r="M104" s="3520"/>
      <c r="N104" s="3544"/>
      <c r="O104" s="3611"/>
      <c r="P104" s="2949"/>
      <c r="Q104" s="2147"/>
      <c r="R104" s="3557"/>
      <c r="S104" s="46"/>
      <c r="T104" s="46"/>
      <c r="U104" s="46"/>
      <c r="V104" s="46"/>
      <c r="W104" s="105"/>
    </row>
    <row r="105" spans="1:25" s="20" customFormat="1" x14ac:dyDescent="0.2">
      <c r="A105" s="1561">
        <v>312</v>
      </c>
      <c r="B105" s="1126" t="s">
        <v>94</v>
      </c>
      <c r="C105" s="1097" t="s">
        <v>874</v>
      </c>
      <c r="D105" s="880"/>
      <c r="E105" s="881"/>
      <c r="F105" s="880"/>
      <c r="G105" s="882"/>
      <c r="H105" s="881"/>
      <c r="I105" s="881"/>
      <c r="J105" s="1638">
        <v>2072.44</v>
      </c>
      <c r="K105" s="1829">
        <v>5368</v>
      </c>
      <c r="L105" s="3291">
        <v>7971</v>
      </c>
      <c r="M105" s="3549">
        <v>1500</v>
      </c>
      <c r="N105" s="3545">
        <v>4000</v>
      </c>
      <c r="O105" s="3603">
        <v>5607</v>
      </c>
      <c r="P105" s="2954">
        <v>1500</v>
      </c>
      <c r="Q105" s="2148">
        <v>3000</v>
      </c>
      <c r="R105" s="3558"/>
      <c r="S105" s="46" t="s">
        <v>935</v>
      </c>
      <c r="T105" s="46"/>
      <c r="U105" s="46"/>
      <c r="V105" s="46"/>
      <c r="W105" s="105"/>
    </row>
    <row r="106" spans="1:25" s="20" customFormat="1" x14ac:dyDescent="0.2">
      <c r="A106" s="1561">
        <v>312</v>
      </c>
      <c r="B106" s="1126" t="s">
        <v>94</v>
      </c>
      <c r="C106" s="1138" t="s">
        <v>766</v>
      </c>
      <c r="D106" s="73"/>
      <c r="E106" s="89"/>
      <c r="F106" s="73"/>
      <c r="G106" s="74"/>
      <c r="H106" s="89"/>
      <c r="I106" s="89"/>
      <c r="J106" s="1638">
        <v>684</v>
      </c>
      <c r="K106" s="1829"/>
      <c r="L106" s="3291"/>
      <c r="M106" s="3547"/>
      <c r="N106" s="2145"/>
      <c r="O106" s="3603">
        <v>475</v>
      </c>
      <c r="P106" s="2954">
        <v>0</v>
      </c>
      <c r="Q106" s="2149"/>
      <c r="R106" s="3559"/>
      <c r="S106" s="46"/>
      <c r="T106" s="46"/>
      <c r="U106" s="46"/>
      <c r="V106" s="46"/>
      <c r="W106" s="105"/>
    </row>
    <row r="107" spans="1:25" s="20" customFormat="1" x14ac:dyDescent="0.2">
      <c r="A107" s="1561">
        <v>312</v>
      </c>
      <c r="B107" s="1126" t="s">
        <v>94</v>
      </c>
      <c r="C107" s="1138" t="s">
        <v>634</v>
      </c>
      <c r="D107" s="73"/>
      <c r="E107" s="89"/>
      <c r="F107" s="73"/>
      <c r="G107" s="74"/>
      <c r="H107" s="89"/>
      <c r="I107" s="89"/>
      <c r="J107" s="1638">
        <v>37286.800000000003</v>
      </c>
      <c r="K107" s="1829">
        <v>29390</v>
      </c>
      <c r="L107" s="3291">
        <v>28312</v>
      </c>
      <c r="M107" s="3547">
        <v>40000</v>
      </c>
      <c r="N107" s="2145">
        <v>40000</v>
      </c>
      <c r="O107" s="3611">
        <v>40000</v>
      </c>
      <c r="P107" s="2949">
        <v>45000</v>
      </c>
      <c r="Q107" s="2149">
        <v>41000</v>
      </c>
      <c r="R107" s="3559">
        <v>42000</v>
      </c>
      <c r="S107" s="46"/>
      <c r="T107" s="46"/>
      <c r="U107" s="46"/>
      <c r="V107" s="46"/>
      <c r="W107" s="105"/>
    </row>
    <row r="108" spans="1:25" s="20" customFormat="1" x14ac:dyDescent="0.2">
      <c r="A108" s="1561">
        <v>312</v>
      </c>
      <c r="B108" s="1126" t="s">
        <v>94</v>
      </c>
      <c r="C108" s="883" t="s">
        <v>767</v>
      </c>
      <c r="D108" s="73"/>
      <c r="E108" s="89"/>
      <c r="F108" s="73"/>
      <c r="G108" s="74"/>
      <c r="H108" s="89"/>
      <c r="I108" s="89"/>
      <c r="J108" s="148">
        <v>297.97000000000003</v>
      </c>
      <c r="K108" s="1829">
        <v>323</v>
      </c>
      <c r="L108" s="3291">
        <v>360</v>
      </c>
      <c r="M108" s="3497">
        <v>350</v>
      </c>
      <c r="N108" s="2014">
        <v>350</v>
      </c>
      <c r="O108" s="3603">
        <v>380</v>
      </c>
      <c r="P108" s="2954">
        <v>380</v>
      </c>
      <c r="Q108" s="2143">
        <v>370</v>
      </c>
      <c r="R108" s="3555">
        <v>400</v>
      </c>
      <c r="S108" s="46"/>
      <c r="T108" s="46"/>
      <c r="U108" s="46"/>
      <c r="V108" s="46"/>
      <c r="W108" s="105"/>
    </row>
    <row r="109" spans="1:25" s="20" customFormat="1" x14ac:dyDescent="0.2">
      <c r="A109" s="1561">
        <v>312</v>
      </c>
      <c r="B109" s="1126" t="s">
        <v>94</v>
      </c>
      <c r="C109" s="1089" t="s">
        <v>947</v>
      </c>
      <c r="D109" s="73"/>
      <c r="E109" s="89"/>
      <c r="F109" s="73"/>
      <c r="G109" s="74"/>
      <c r="H109" s="89"/>
      <c r="I109" s="89"/>
      <c r="J109" s="1638">
        <v>0</v>
      </c>
      <c r="K109" s="1829"/>
      <c r="L109" s="3291">
        <v>6242</v>
      </c>
      <c r="M109" s="3495">
        <v>0</v>
      </c>
      <c r="N109" s="2013">
        <v>0</v>
      </c>
      <c r="O109" s="3611">
        <v>0</v>
      </c>
      <c r="P109" s="2949">
        <v>0</v>
      </c>
      <c r="Q109" s="2146">
        <v>0</v>
      </c>
      <c r="R109" s="3515">
        <v>0</v>
      </c>
      <c r="S109" s="46"/>
      <c r="T109" s="46"/>
      <c r="U109" s="46"/>
      <c r="V109" s="46"/>
      <c r="W109" s="105"/>
    </row>
    <row r="110" spans="1:25" s="20" customFormat="1" x14ac:dyDescent="0.2">
      <c r="A110" s="1561">
        <v>312</v>
      </c>
      <c r="B110" s="1126" t="s">
        <v>94</v>
      </c>
      <c r="C110" s="1089" t="s">
        <v>875</v>
      </c>
      <c r="D110" s="73"/>
      <c r="E110" s="89"/>
      <c r="F110" s="73"/>
      <c r="G110" s="74"/>
      <c r="H110" s="89"/>
      <c r="I110" s="89"/>
      <c r="J110" s="1642">
        <v>0</v>
      </c>
      <c r="K110" s="1857"/>
      <c r="L110" s="3291"/>
      <c r="M110" s="3495"/>
      <c r="N110" s="2013">
        <v>62290</v>
      </c>
      <c r="O110" s="3603">
        <v>61290</v>
      </c>
      <c r="P110" s="2954">
        <v>0</v>
      </c>
      <c r="Q110" s="2146"/>
      <c r="R110" s="3515"/>
      <c r="S110" s="46"/>
      <c r="T110" s="46"/>
      <c r="U110" s="46"/>
      <c r="V110" s="46"/>
      <c r="W110" s="105"/>
    </row>
    <row r="111" spans="1:25" s="20" customFormat="1" ht="13.5" thickBot="1" x14ac:dyDescent="0.25">
      <c r="A111" s="2130">
        <v>312</v>
      </c>
      <c r="B111" s="2131" t="s">
        <v>94</v>
      </c>
      <c r="C111" s="1517" t="s">
        <v>768</v>
      </c>
      <c r="D111" s="1518"/>
      <c r="E111" s="1519"/>
      <c r="F111" s="1518"/>
      <c r="G111" s="1520"/>
      <c r="H111" s="1519"/>
      <c r="I111" s="1519"/>
      <c r="J111" s="1828">
        <v>18639.64</v>
      </c>
      <c r="K111" s="2137">
        <v>19168</v>
      </c>
      <c r="L111" s="3518">
        <v>32236</v>
      </c>
      <c r="M111" s="3499">
        <v>26000</v>
      </c>
      <c r="N111" s="3491">
        <v>26000</v>
      </c>
      <c r="O111" s="3612">
        <v>26000</v>
      </c>
      <c r="P111" s="2951">
        <v>31000</v>
      </c>
      <c r="Q111" s="3560">
        <v>27000</v>
      </c>
      <c r="R111" s="3561">
        <v>28000</v>
      </c>
      <c r="S111" s="46"/>
      <c r="T111" s="46"/>
      <c r="U111" s="46"/>
      <c r="V111" s="46"/>
      <c r="W111" s="105"/>
    </row>
    <row r="112" spans="1:25" s="20" customFormat="1" ht="13.5" thickBot="1" x14ac:dyDescent="0.25">
      <c r="A112" s="65"/>
      <c r="B112" s="65"/>
      <c r="C112" s="65"/>
      <c r="D112" s="73"/>
      <c r="E112" s="89"/>
      <c r="F112" s="73"/>
      <c r="G112" s="74"/>
      <c r="H112" s="89"/>
      <c r="I112" s="89"/>
      <c r="J112" s="89"/>
      <c r="K112" s="108"/>
      <c r="L112" s="108"/>
      <c r="M112" s="108"/>
      <c r="N112" s="108"/>
      <c r="O112" s="108"/>
      <c r="P112" s="2941"/>
      <c r="Q112" s="108"/>
      <c r="R112" s="108"/>
      <c r="S112" s="107"/>
      <c r="T112" s="107"/>
      <c r="U112" s="107"/>
      <c r="V112" s="107"/>
    </row>
    <row r="113" spans="1:23" s="60" customFormat="1" ht="13.5" thickBot="1" x14ac:dyDescent="0.25">
      <c r="A113" s="2663" t="s">
        <v>145</v>
      </c>
      <c r="B113" s="2677"/>
      <c r="C113" s="2678"/>
      <c r="D113" s="2732"/>
      <c r="E113" s="2733"/>
      <c r="F113" s="2732"/>
      <c r="G113" s="2732"/>
      <c r="H113" s="2733"/>
      <c r="I113" s="2733"/>
      <c r="J113" s="2734">
        <f>J114+J115</f>
        <v>3000</v>
      </c>
      <c r="K113" s="2734">
        <f>K114+K115</f>
        <v>3000</v>
      </c>
      <c r="L113" s="2525">
        <f>SUM(L114,L115)</f>
        <v>3000</v>
      </c>
      <c r="M113" s="2735">
        <f>M114+M115+M116</f>
        <v>3000</v>
      </c>
      <c r="N113" s="2736">
        <f>SUM(N114,N115)</f>
        <v>4500</v>
      </c>
      <c r="O113" s="2737">
        <f>SUM(O114,O115)</f>
        <v>5500</v>
      </c>
      <c r="P113" s="2952">
        <f>SUM(P114,P115)</f>
        <v>3000</v>
      </c>
      <c r="Q113" s="2738">
        <f>SUM(Q114,Q115)</f>
        <v>3000</v>
      </c>
      <c r="R113" s="2739">
        <f>SUM(R114,R115)</f>
        <v>3000</v>
      </c>
      <c r="S113" s="46"/>
      <c r="T113" s="46"/>
      <c r="U113" s="46"/>
      <c r="V113" s="46"/>
    </row>
    <row r="114" spans="1:23" s="60" customFormat="1" x14ac:dyDescent="0.2">
      <c r="A114" s="2519">
        <v>311</v>
      </c>
      <c r="B114" s="2519"/>
      <c r="C114" s="2727" t="s">
        <v>783</v>
      </c>
      <c r="D114" s="2728"/>
      <c r="E114" s="2728"/>
      <c r="F114" s="2728"/>
      <c r="G114" s="2729"/>
      <c r="H114" s="2728"/>
      <c r="I114" s="2730"/>
      <c r="J114" s="1373">
        <v>3000</v>
      </c>
      <c r="K114" s="2731">
        <v>3000</v>
      </c>
      <c r="L114" s="1666">
        <v>3000</v>
      </c>
      <c r="M114" s="54">
        <v>3000</v>
      </c>
      <c r="N114" s="3562">
        <v>3000</v>
      </c>
      <c r="O114" s="1600">
        <v>3000</v>
      </c>
      <c r="P114" s="3297">
        <v>3000</v>
      </c>
      <c r="Q114" s="1377">
        <v>3000</v>
      </c>
      <c r="R114" s="1378">
        <v>3000</v>
      </c>
      <c r="S114" s="111"/>
      <c r="T114" s="111"/>
      <c r="U114" s="111"/>
      <c r="V114" s="111"/>
    </row>
    <row r="115" spans="1:23" s="20" customFormat="1" x14ac:dyDescent="0.2">
      <c r="A115" s="1126">
        <v>311</v>
      </c>
      <c r="B115" s="1126"/>
      <c r="C115" s="1089" t="s">
        <v>891</v>
      </c>
      <c r="D115" s="38"/>
      <c r="E115" s="38"/>
      <c r="F115" s="38"/>
      <c r="G115" s="37"/>
      <c r="H115" s="38"/>
      <c r="I115" s="38"/>
      <c r="J115" s="871">
        <v>0</v>
      </c>
      <c r="K115" s="1451">
        <v>0</v>
      </c>
      <c r="L115" s="1638">
        <v>0</v>
      </c>
      <c r="M115" s="1601">
        <v>0</v>
      </c>
      <c r="N115" s="1451">
        <v>1500</v>
      </c>
      <c r="O115" s="1601">
        <v>2500</v>
      </c>
      <c r="P115" s="2954">
        <v>0</v>
      </c>
      <c r="Q115" s="1361">
        <v>0</v>
      </c>
      <c r="R115" s="1362">
        <v>0</v>
      </c>
      <c r="S115" s="112"/>
      <c r="T115" s="46"/>
      <c r="U115" s="46"/>
      <c r="V115" s="46"/>
      <c r="W115" s="105"/>
    </row>
    <row r="116" spans="1:23" s="20" customFormat="1" ht="13.5" thickBot="1" x14ac:dyDescent="0.25">
      <c r="A116" s="2506">
        <v>311</v>
      </c>
      <c r="B116" s="2506"/>
      <c r="C116" s="2506" t="s">
        <v>690</v>
      </c>
      <c r="D116" s="89"/>
      <c r="E116" s="89"/>
      <c r="F116" s="89"/>
      <c r="G116" s="90"/>
      <c r="H116" s="89"/>
      <c r="I116" s="89"/>
      <c r="J116" s="2740">
        <v>0</v>
      </c>
      <c r="K116" s="2741">
        <v>0</v>
      </c>
      <c r="L116" s="1642">
        <v>0</v>
      </c>
      <c r="M116" s="1602">
        <v>0</v>
      </c>
      <c r="N116" s="3563">
        <v>0</v>
      </c>
      <c r="O116" s="1602">
        <v>0</v>
      </c>
      <c r="P116" s="2957">
        <v>0</v>
      </c>
      <c r="Q116" s="2742">
        <v>0</v>
      </c>
      <c r="R116" s="2743">
        <v>0</v>
      </c>
      <c r="S116" s="107"/>
      <c r="T116" s="107"/>
      <c r="U116" s="107"/>
      <c r="V116" s="46"/>
    </row>
    <row r="117" spans="1:23" s="20" customFormat="1" ht="13.5" thickBot="1" x14ac:dyDescent="0.25">
      <c r="A117" s="3703" t="s">
        <v>146</v>
      </c>
      <c r="B117" s="3704"/>
      <c r="C117" s="3704"/>
      <c r="D117" s="2694"/>
      <c r="E117" s="2688"/>
      <c r="F117" s="2694"/>
      <c r="G117" s="2688"/>
      <c r="H117" s="2694"/>
      <c r="I117" s="2688"/>
      <c r="J117" s="2688">
        <f>J81+J113</f>
        <v>100175.19</v>
      </c>
      <c r="K117" s="2688">
        <f>K113+K81</f>
        <v>104851</v>
      </c>
      <c r="L117" s="2745">
        <f>L81+L113</f>
        <v>134665</v>
      </c>
      <c r="M117" s="2726">
        <f>M81+M113</f>
        <v>110850</v>
      </c>
      <c r="N117" s="2693">
        <f>SUM(N81,N113)</f>
        <v>195140</v>
      </c>
      <c r="O117" s="2693">
        <f>SUM(O81,O113)</f>
        <v>184787</v>
      </c>
      <c r="P117" s="2849">
        <f>SUM(P81,P113)</f>
        <v>95518</v>
      </c>
      <c r="Q117" s="2725">
        <f>SUM(Q81,Q113)</f>
        <v>108370</v>
      </c>
      <c r="R117" s="2726">
        <f>SUM(R81,R113)</f>
        <v>102900</v>
      </c>
      <c r="S117" s="71"/>
      <c r="T117" s="71"/>
      <c r="U117" s="71"/>
      <c r="V117" s="71"/>
    </row>
    <row r="118" spans="1:23" s="17" customFormat="1" ht="13.5" thickBot="1" x14ac:dyDescent="0.25">
      <c r="A118" s="141" t="s">
        <v>147</v>
      </c>
      <c r="B118" s="735"/>
      <c r="C118" s="1817"/>
      <c r="D118" s="1488"/>
      <c r="E118" s="1488"/>
      <c r="F118" s="1488"/>
      <c r="G118" s="1488"/>
      <c r="H118" s="1488"/>
      <c r="I118" s="1818"/>
      <c r="J118" s="2744">
        <f>J32+J69+J117</f>
        <v>1379071.67</v>
      </c>
      <c r="K118" s="2744">
        <f>SUM(K32,K117,K69)</f>
        <v>1572065.0699999998</v>
      </c>
      <c r="L118" s="1819">
        <f>L32+L69+L117</f>
        <v>1575644</v>
      </c>
      <c r="M118" s="1820">
        <f>M32+M69+M117</f>
        <v>1436105</v>
      </c>
      <c r="N118" s="1488">
        <f>SUM(N32,N69,N117)</f>
        <v>1532958</v>
      </c>
      <c r="O118" s="1488">
        <f>SUM(O32,O69,O117)</f>
        <v>1565881</v>
      </c>
      <c r="P118" s="2850">
        <f>SUM(P32,P69,P117)</f>
        <v>1486550</v>
      </c>
      <c r="Q118" s="1819">
        <f>SUM(Q32,Q69,Q117)</f>
        <v>1605808</v>
      </c>
      <c r="R118" s="1820">
        <f>SUM(R32,R69,R117)</f>
        <v>1675655</v>
      </c>
      <c r="S118" s="39"/>
      <c r="T118" s="39"/>
      <c r="U118" s="39"/>
      <c r="V118" s="39"/>
    </row>
    <row r="119" spans="1:23" ht="12.75" customHeight="1" x14ac:dyDescent="0.2">
      <c r="M119" s="114"/>
      <c r="P119" s="2941"/>
    </row>
    <row r="120" spans="1:23" ht="45" hidden="1" customHeight="1" x14ac:dyDescent="0.2">
      <c r="P120" s="2941"/>
    </row>
    <row r="121" spans="1:23" ht="45" hidden="1" customHeight="1" x14ac:dyDescent="0.2">
      <c r="P121" s="2941"/>
    </row>
    <row r="122" spans="1:23" ht="45" hidden="1" customHeight="1" x14ac:dyDescent="0.2">
      <c r="P122" s="2941"/>
    </row>
    <row r="123" spans="1:23" ht="45" hidden="1" customHeight="1" x14ac:dyDescent="0.2">
      <c r="P123" s="2941"/>
    </row>
    <row r="124" spans="1:23" ht="45" hidden="1" customHeight="1" x14ac:dyDescent="0.2">
      <c r="P124" s="2941"/>
    </row>
    <row r="125" spans="1:23" ht="45" hidden="1" customHeight="1" x14ac:dyDescent="0.2">
      <c r="P125" s="2941"/>
    </row>
    <row r="126" spans="1:23" ht="12.75" customHeight="1" x14ac:dyDescent="0.2">
      <c r="C126" s="522" t="s">
        <v>79</v>
      </c>
      <c r="P126" s="2941"/>
    </row>
    <row r="127" spans="1:23" ht="12.75" customHeight="1" thickBot="1" x14ac:dyDescent="0.3">
      <c r="M127" s="3706" t="s">
        <v>108</v>
      </c>
      <c r="N127" s="3706"/>
      <c r="O127" s="3706"/>
      <c r="P127" s="3706"/>
      <c r="Q127" s="3706"/>
      <c r="R127" s="3706"/>
      <c r="S127" s="25"/>
      <c r="T127" s="25"/>
      <c r="U127" s="25"/>
      <c r="V127" s="25"/>
    </row>
    <row r="128" spans="1:23" ht="45" hidden="1" customHeight="1" thickBot="1" x14ac:dyDescent="0.25"/>
    <row r="129" spans="1:41" s="20" customFormat="1" ht="23.25" customHeight="1" thickBot="1" x14ac:dyDescent="0.25">
      <c r="A129" s="29" t="s">
        <v>79</v>
      </c>
      <c r="B129" s="115"/>
      <c r="C129" s="116"/>
      <c r="D129" s="117" t="s">
        <v>148</v>
      </c>
      <c r="E129" s="118" t="s">
        <v>149</v>
      </c>
      <c r="F129" s="117" t="s">
        <v>148</v>
      </c>
      <c r="G129" s="118" t="s">
        <v>149</v>
      </c>
      <c r="H129" s="117" t="s">
        <v>148</v>
      </c>
      <c r="I129" s="118" t="s">
        <v>149</v>
      </c>
      <c r="J129" s="1624">
        <v>2018</v>
      </c>
      <c r="K129" s="3174" t="s">
        <v>825</v>
      </c>
      <c r="L129" s="3175" t="s">
        <v>958</v>
      </c>
      <c r="M129" s="1810">
        <v>2021</v>
      </c>
      <c r="N129" s="2304" t="s">
        <v>872</v>
      </c>
      <c r="O129" s="2662" t="s">
        <v>927</v>
      </c>
      <c r="P129" s="2944">
        <v>2022</v>
      </c>
      <c r="Q129" s="2945">
        <v>2023</v>
      </c>
      <c r="R129" s="2946">
        <v>2024</v>
      </c>
      <c r="S129" s="30"/>
      <c r="T129" s="30"/>
      <c r="U129" s="30"/>
      <c r="V129" s="31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 s="1760"/>
    </row>
    <row r="130" spans="1:41" x14ac:dyDescent="0.2">
      <c r="A130" s="42">
        <v>231</v>
      </c>
      <c r="B130" s="43"/>
      <c r="C130" s="1098" t="s">
        <v>150</v>
      </c>
      <c r="D130" s="110">
        <v>0</v>
      </c>
      <c r="E130" s="110"/>
      <c r="F130" s="110">
        <v>0</v>
      </c>
      <c r="G130" s="110"/>
      <c r="H130" s="110">
        <v>0</v>
      </c>
      <c r="I130" s="110"/>
      <c r="J130" s="1364">
        <v>0</v>
      </c>
      <c r="K130" s="1364">
        <v>0</v>
      </c>
      <c r="L130" s="1364">
        <v>0</v>
      </c>
      <c r="M130" s="2016">
        <v>0</v>
      </c>
      <c r="N130" s="2579">
        <v>0</v>
      </c>
      <c r="O130" s="3608">
        <v>2500</v>
      </c>
      <c r="P130" s="3607">
        <v>0</v>
      </c>
      <c r="Q130" s="109">
        <v>0</v>
      </c>
      <c r="R130" s="1370">
        <v>0</v>
      </c>
      <c r="S130" s="111"/>
      <c r="T130" s="111"/>
      <c r="U130" s="111"/>
      <c r="V130" s="111"/>
      <c r="W130" s="1743"/>
      <c r="X130" s="1743"/>
      <c r="Y130" s="1743"/>
      <c r="Z130" s="1754"/>
      <c r="AA130" s="1754"/>
      <c r="AB130" s="1754"/>
      <c r="AC130"/>
      <c r="AD130" s="1754"/>
      <c r="AE130"/>
      <c r="AF130" s="1732"/>
      <c r="AG130" s="1754"/>
      <c r="AH130" s="1754"/>
      <c r="AI130" s="1732"/>
      <c r="AJ130"/>
      <c r="AK130"/>
      <c r="AL130"/>
      <c r="AM130" s="1732"/>
      <c r="AN130" s="1732"/>
      <c r="AO130" s="1760"/>
    </row>
    <row r="131" spans="1:41" ht="13.5" thickBot="1" x14ac:dyDescent="0.25">
      <c r="A131" s="63">
        <v>233</v>
      </c>
      <c r="B131" s="85"/>
      <c r="C131" s="2755" t="s">
        <v>151</v>
      </c>
      <c r="D131" s="110">
        <v>3000</v>
      </c>
      <c r="E131" s="110"/>
      <c r="F131" s="110">
        <v>3000</v>
      </c>
      <c r="G131" s="110"/>
      <c r="H131" s="110">
        <v>3000</v>
      </c>
      <c r="I131" s="110"/>
      <c r="J131" s="1364">
        <v>10196.799999999999</v>
      </c>
      <c r="K131" s="1364">
        <v>3380</v>
      </c>
      <c r="L131" s="1364">
        <v>11590</v>
      </c>
      <c r="M131" s="2016">
        <v>25000</v>
      </c>
      <c r="N131" s="3564">
        <v>44414</v>
      </c>
      <c r="O131" s="3609">
        <v>48769</v>
      </c>
      <c r="P131" s="2957">
        <v>50000</v>
      </c>
      <c r="Q131" s="1371">
        <v>30000</v>
      </c>
      <c r="R131" s="1370">
        <v>20000</v>
      </c>
      <c r="S131" s="111"/>
      <c r="T131" s="111"/>
      <c r="U131" s="111"/>
      <c r="V131" s="111"/>
      <c r="W131" s="1743"/>
      <c r="X131" s="1743"/>
      <c r="Y131" s="1743"/>
      <c r="Z131" s="1754"/>
      <c r="AA131" s="1754"/>
      <c r="AB131" s="1754"/>
      <c r="AC131"/>
      <c r="AD131" s="1754"/>
      <c r="AE131" s="1754"/>
      <c r="AF131" s="1754"/>
      <c r="AG131" s="1754"/>
      <c r="AH131" s="1754"/>
      <c r="AI131" s="1754"/>
      <c r="AJ131"/>
      <c r="AK131"/>
      <c r="AL131"/>
      <c r="AM131" s="1754"/>
      <c r="AN131" s="1754"/>
      <c r="AO131" s="1760"/>
    </row>
    <row r="132" spans="1:41" ht="13.5" thickBot="1" x14ac:dyDescent="0.25">
      <c r="A132" s="3707" t="s">
        <v>133</v>
      </c>
      <c r="B132" s="3708"/>
      <c r="C132" s="3708"/>
      <c r="D132" s="2756">
        <f>SUM(D130,D131)</f>
        <v>3000</v>
      </c>
      <c r="E132" s="2756">
        <f>E130+E131</f>
        <v>0</v>
      </c>
      <c r="F132" s="2756">
        <f>SUM(F130,F131)</f>
        <v>3000</v>
      </c>
      <c r="G132" s="2756">
        <f>G130+G131</f>
        <v>0</v>
      </c>
      <c r="H132" s="2756">
        <f>SUM(H130,H131)</f>
        <v>3000</v>
      </c>
      <c r="I132" s="2756">
        <f>I130+I131</f>
        <v>0</v>
      </c>
      <c r="J132" s="2421">
        <f>J130+J131</f>
        <v>10196.799999999999</v>
      </c>
      <c r="K132" s="2421">
        <f>SUM(K130,K131)</f>
        <v>3380</v>
      </c>
      <c r="L132" s="2559">
        <f t="shared" ref="L132:R132" si="1">L130+L131</f>
        <v>11590</v>
      </c>
      <c r="M132" s="2559">
        <f t="shared" si="1"/>
        <v>25000</v>
      </c>
      <c r="N132" s="2560">
        <f t="shared" si="1"/>
        <v>44414</v>
      </c>
      <c r="O132" s="2561">
        <f t="shared" si="1"/>
        <v>51269</v>
      </c>
      <c r="P132" s="2846">
        <f>P130+P131</f>
        <v>50000</v>
      </c>
      <c r="Q132" s="2423">
        <f t="shared" si="1"/>
        <v>30000</v>
      </c>
      <c r="R132" s="2405">
        <f t="shared" si="1"/>
        <v>20000</v>
      </c>
      <c r="S132" s="119"/>
      <c r="T132" s="119"/>
      <c r="U132" s="119"/>
      <c r="V132" s="119"/>
      <c r="W132" s="1743"/>
      <c r="X132" s="1743"/>
      <c r="Y132" s="1743"/>
      <c r="Z132" s="1754"/>
      <c r="AA132" s="1754"/>
      <c r="AB132" s="1754"/>
      <c r="AC132"/>
      <c r="AD132" s="1754"/>
      <c r="AE132" s="1754"/>
      <c r="AF132" s="1754"/>
      <c r="AG132" s="1754"/>
      <c r="AH132" s="1754"/>
      <c r="AI132" s="1754"/>
      <c r="AJ132" s="1754"/>
      <c r="AK132" s="1754"/>
      <c r="AL132" s="1754"/>
      <c r="AM132" s="1754"/>
      <c r="AN132" s="1754"/>
      <c r="AO132" s="1760"/>
    </row>
    <row r="133" spans="1:41" ht="13.5" thickBo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 s="2942"/>
      <c r="Q133"/>
      <c r="R133"/>
      <c r="S133" s="119"/>
      <c r="T133" s="119"/>
      <c r="U133" s="119"/>
      <c r="V133" s="119"/>
      <c r="W133" s="1743"/>
      <c r="X133" s="1743"/>
      <c r="Y133" s="1743"/>
      <c r="Z133" s="1754"/>
      <c r="AA133" s="1754"/>
      <c r="AB133" s="1754"/>
      <c r="AC133"/>
      <c r="AD133" s="1754"/>
      <c r="AE133" s="1754"/>
      <c r="AF133" s="1754"/>
      <c r="AG133" s="1754"/>
      <c r="AH133" s="1754"/>
      <c r="AI133" s="1754"/>
      <c r="AJ133" s="1754"/>
      <c r="AK133" s="1754"/>
      <c r="AL133" s="1754"/>
      <c r="AM133" s="1754"/>
      <c r="AN133" s="1754"/>
      <c r="AO133" s="1760"/>
    </row>
    <row r="134" spans="1:41" ht="23.25" thickBot="1" x14ac:dyDescent="0.25">
      <c r="A134" s="2752" t="s">
        <v>145</v>
      </c>
      <c r="B134" s="2753"/>
      <c r="C134" s="2753"/>
      <c r="D134" s="2753"/>
      <c r="E134" s="2753"/>
      <c r="F134" s="2753"/>
      <c r="G134" s="2753"/>
      <c r="H134" s="2753"/>
      <c r="I134" s="2753"/>
      <c r="J134" s="2934">
        <v>2018</v>
      </c>
      <c r="K134" s="3174" t="s">
        <v>825</v>
      </c>
      <c r="L134" s="3175" t="s">
        <v>958</v>
      </c>
      <c r="M134" s="2934">
        <v>2021</v>
      </c>
      <c r="N134" s="2754" t="s">
        <v>872</v>
      </c>
      <c r="O134" s="2662" t="s">
        <v>927</v>
      </c>
      <c r="P134" s="2944">
        <v>2022</v>
      </c>
      <c r="Q134" s="2945">
        <v>2023</v>
      </c>
      <c r="R134" s="2946">
        <v>2024</v>
      </c>
      <c r="S134" s="119"/>
      <c r="T134" s="119"/>
      <c r="U134" s="119"/>
      <c r="V134" s="119"/>
      <c r="W134" s="1743"/>
      <c r="X134" s="1743"/>
      <c r="Y134" s="1743"/>
      <c r="Z134" s="1754"/>
      <c r="AA134" s="1754"/>
      <c r="AB134" s="1754"/>
      <c r="AC134"/>
      <c r="AD134" s="1754"/>
      <c r="AE134" s="1754"/>
      <c r="AF134" s="1754"/>
      <c r="AG134" s="1754"/>
      <c r="AH134" s="1754"/>
      <c r="AI134" s="1754"/>
      <c r="AJ134" s="1754"/>
      <c r="AK134" s="1754"/>
      <c r="AL134" s="1754"/>
      <c r="AM134" s="1754"/>
      <c r="AN134" s="1754"/>
      <c r="AO134" s="1760"/>
    </row>
    <row r="135" spans="1:41" x14ac:dyDescent="0.2">
      <c r="A135" s="2763">
        <v>321</v>
      </c>
      <c r="B135" s="2764"/>
      <c r="C135" s="2764" t="s">
        <v>892</v>
      </c>
      <c r="D135" s="2749"/>
      <c r="E135" s="2749"/>
      <c r="F135" s="2749"/>
      <c r="G135" s="2749"/>
      <c r="H135" s="2749"/>
      <c r="I135" s="2749"/>
      <c r="J135" s="2749"/>
      <c r="K135" s="2749"/>
      <c r="L135" s="2749"/>
      <c r="M135" s="2749"/>
      <c r="N135" s="2749"/>
      <c r="O135" s="3603">
        <v>1800</v>
      </c>
      <c r="P135" s="3607">
        <v>0</v>
      </c>
      <c r="Q135" s="3605"/>
      <c r="R135" s="2751"/>
      <c r="S135" s="119"/>
      <c r="T135" s="119"/>
      <c r="U135" s="119"/>
      <c r="V135" s="119"/>
      <c r="W135" s="1743"/>
      <c r="X135" s="1743"/>
      <c r="Y135" s="1743"/>
      <c r="Z135" s="1754"/>
      <c r="AA135" s="1754"/>
      <c r="AB135" s="1754"/>
      <c r="AC135"/>
      <c r="AD135" s="1754"/>
      <c r="AE135" s="1754"/>
      <c r="AF135" s="1754"/>
      <c r="AG135" s="1754"/>
      <c r="AH135" s="1754"/>
      <c r="AI135" s="1754"/>
      <c r="AJ135" s="1754"/>
      <c r="AK135" s="1754"/>
      <c r="AL135" s="1754"/>
      <c r="AM135" s="1754"/>
      <c r="AN135" s="1754"/>
      <c r="AO135" s="1760"/>
    </row>
    <row r="136" spans="1:41" x14ac:dyDescent="0.2">
      <c r="A136" s="2750"/>
      <c r="B136" s="2749"/>
      <c r="C136" s="2749"/>
      <c r="D136" s="2749"/>
      <c r="E136" s="2749"/>
      <c r="F136" s="2749"/>
      <c r="G136" s="2749"/>
      <c r="H136" s="2749"/>
      <c r="I136" s="2749"/>
      <c r="J136" s="2749"/>
      <c r="K136" s="2749"/>
      <c r="L136" s="2749"/>
      <c r="M136" s="2749"/>
      <c r="N136" s="2749"/>
      <c r="O136" s="3603"/>
      <c r="P136" s="2954"/>
      <c r="Q136" s="3605"/>
      <c r="R136" s="2751"/>
      <c r="S136" s="119"/>
      <c r="T136" s="119"/>
      <c r="U136" s="119"/>
      <c r="V136" s="119"/>
      <c r="W136" s="1743"/>
      <c r="X136" s="1743"/>
      <c r="Y136" s="1743"/>
      <c r="Z136" s="1754"/>
      <c r="AA136" s="1754"/>
      <c r="AB136" s="1754"/>
      <c r="AC136"/>
      <c r="AD136" s="1754"/>
      <c r="AE136" s="1754"/>
      <c r="AF136" s="1754"/>
      <c r="AG136" s="1754"/>
      <c r="AH136" s="1754"/>
      <c r="AI136" s="1754"/>
      <c r="AJ136" s="1754"/>
      <c r="AK136" s="1754"/>
      <c r="AL136" s="1754"/>
      <c r="AM136" s="1754"/>
      <c r="AN136" s="1754"/>
      <c r="AO136" s="1760"/>
    </row>
    <row r="137" spans="1:41" ht="13.5" thickBot="1" x14ac:dyDescent="0.25">
      <c r="A137" s="2757"/>
      <c r="B137" s="2758"/>
      <c r="C137" s="2758"/>
      <c r="D137" s="2758"/>
      <c r="E137" s="2758"/>
      <c r="F137" s="2758"/>
      <c r="G137" s="2758"/>
      <c r="H137" s="2758"/>
      <c r="I137" s="2758"/>
      <c r="J137" s="2758"/>
      <c r="K137" s="2758"/>
      <c r="L137" s="2758"/>
      <c r="M137" s="2758"/>
      <c r="N137" s="2758"/>
      <c r="O137" s="3604"/>
      <c r="P137" s="2957"/>
      <c r="Q137" s="3606"/>
      <c r="R137" s="2759"/>
      <c r="S137" s="119"/>
      <c r="T137" s="119"/>
      <c r="U137" s="119"/>
      <c r="V137" s="119"/>
      <c r="W137" s="1743"/>
      <c r="X137" s="1743"/>
      <c r="Y137" s="1743"/>
      <c r="Z137" s="1754"/>
      <c r="AA137" s="1754"/>
      <c r="AB137" s="1754"/>
      <c r="AC137"/>
      <c r="AD137" s="1754"/>
      <c r="AE137" s="1754"/>
      <c r="AF137" s="1754"/>
      <c r="AG137" s="1754"/>
      <c r="AH137" s="1754"/>
      <c r="AI137" s="1754"/>
      <c r="AJ137" s="1754"/>
      <c r="AK137" s="1754"/>
      <c r="AL137" s="1754"/>
      <c r="AM137" s="1754"/>
      <c r="AN137" s="1754"/>
      <c r="AO137" s="1760"/>
    </row>
    <row r="138" spans="1:41" ht="13.5" thickBot="1" x14ac:dyDescent="0.25">
      <c r="A138" s="2760" t="s">
        <v>146</v>
      </c>
      <c r="B138" s="2761"/>
      <c r="C138" s="2761"/>
      <c r="D138" s="2761"/>
      <c r="E138" s="2761"/>
      <c r="F138" s="2761"/>
      <c r="G138" s="2761"/>
      <c r="H138" s="2761"/>
      <c r="I138" s="2761"/>
      <c r="J138" s="2761"/>
      <c r="K138" s="2761"/>
      <c r="L138" s="2761"/>
      <c r="M138" s="2761"/>
      <c r="N138" s="2761"/>
      <c r="O138" s="2943">
        <f>SUM(O135:O137)</f>
        <v>1800</v>
      </c>
      <c r="P138" s="2848">
        <f>P135</f>
        <v>0</v>
      </c>
      <c r="Q138" s="2761"/>
      <c r="R138" s="2762"/>
      <c r="S138" s="119"/>
      <c r="T138" s="119"/>
      <c r="U138" s="119"/>
      <c r="V138" s="119"/>
      <c r="W138" s="1743"/>
      <c r="X138" s="1743"/>
      <c r="Y138" s="1743"/>
      <c r="Z138" s="1754"/>
      <c r="AA138" s="1754"/>
      <c r="AB138" s="1754"/>
      <c r="AC138"/>
      <c r="AD138" s="1754"/>
      <c r="AE138" s="1754"/>
      <c r="AF138" s="1754"/>
      <c r="AG138" s="1754"/>
      <c r="AH138" s="1754"/>
      <c r="AI138" s="1754"/>
      <c r="AJ138" s="1754"/>
      <c r="AK138" s="1754"/>
      <c r="AL138" s="1754"/>
      <c r="AM138" s="1754"/>
      <c r="AN138" s="1754"/>
      <c r="AO138" s="1760"/>
    </row>
    <row r="139" spans="1:41" ht="15.75" customHeight="1" x14ac:dyDescent="0.2">
      <c r="A139" s="53"/>
      <c r="B139" s="53"/>
      <c r="C139" s="120"/>
      <c r="D139" s="54"/>
      <c r="E139" s="54"/>
      <c r="F139" s="54"/>
      <c r="G139" s="56"/>
      <c r="H139" s="54"/>
      <c r="I139" s="54"/>
      <c r="J139" s="54"/>
      <c r="K139" s="54"/>
      <c r="L139" s="54"/>
      <c r="M139" s="67"/>
      <c r="P139" s="2941"/>
      <c r="W139" s="3699"/>
      <c r="X139" s="3699"/>
      <c r="Y139" s="369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 s="1760"/>
    </row>
    <row r="140" spans="1:41" ht="16.5" thickBot="1" x14ac:dyDescent="0.3">
      <c r="A140" s="53"/>
      <c r="B140" s="53"/>
      <c r="C140" s="120"/>
      <c r="D140" s="54"/>
      <c r="E140" s="54"/>
      <c r="F140" s="54"/>
      <c r="G140" s="56"/>
      <c r="H140" s="54"/>
      <c r="I140" s="54"/>
      <c r="J140" s="54"/>
      <c r="K140" s="54"/>
      <c r="L140" s="54"/>
      <c r="M140" s="3706" t="s">
        <v>134</v>
      </c>
      <c r="N140" s="3706"/>
      <c r="O140" s="3706"/>
      <c r="P140" s="3706"/>
      <c r="Q140" s="3706"/>
      <c r="R140" s="3706"/>
      <c r="S140" s="25"/>
      <c r="T140" s="25"/>
      <c r="U140" s="25"/>
      <c r="V140" s="25"/>
    </row>
    <row r="141" spans="1:41" ht="13.5" hidden="1" thickBot="1" x14ac:dyDescent="0.25">
      <c r="A141" s="53"/>
      <c r="B141" s="53"/>
      <c r="C141" s="120"/>
      <c r="D141" s="54"/>
      <c r="E141" s="54"/>
      <c r="F141" s="54"/>
      <c r="G141" s="56"/>
      <c r="H141" s="54"/>
      <c r="I141" s="54"/>
      <c r="J141" s="54"/>
      <c r="K141" s="54"/>
      <c r="L141" s="54"/>
      <c r="M141" s="67"/>
    </row>
    <row r="142" spans="1:41" ht="23.25" customHeight="1" thickBot="1" x14ac:dyDescent="0.25">
      <c r="A142" s="2655" t="s">
        <v>79</v>
      </c>
      <c r="B142" s="2802"/>
      <c r="C142" s="2768"/>
      <c r="D142" s="2769" t="s">
        <v>148</v>
      </c>
      <c r="E142" s="2770" t="s">
        <v>149</v>
      </c>
      <c r="F142" s="2769" t="s">
        <v>148</v>
      </c>
      <c r="G142" s="2770" t="s">
        <v>149</v>
      </c>
      <c r="H142" s="2769" t="s">
        <v>148</v>
      </c>
      <c r="I142" s="2770" t="s">
        <v>149</v>
      </c>
      <c r="J142" s="3480">
        <v>2018</v>
      </c>
      <c r="K142" s="3481" t="s">
        <v>825</v>
      </c>
      <c r="L142" s="3287" t="s">
        <v>958</v>
      </c>
      <c r="M142" s="3483">
        <v>2021</v>
      </c>
      <c r="N142" s="2662" t="s">
        <v>872</v>
      </c>
      <c r="O142" s="3288" t="s">
        <v>927</v>
      </c>
      <c r="P142" s="2944">
        <v>2022</v>
      </c>
      <c r="Q142" s="2945">
        <v>2023</v>
      </c>
      <c r="R142" s="2946">
        <v>2024</v>
      </c>
      <c r="S142" s="69"/>
      <c r="T142" s="69"/>
      <c r="U142" s="69"/>
      <c r="V142" s="70"/>
    </row>
    <row r="143" spans="1:41" x14ac:dyDescent="0.2">
      <c r="A143" s="2518">
        <v>322</v>
      </c>
      <c r="B143" s="2518"/>
      <c r="C143" s="2765" t="s">
        <v>785</v>
      </c>
      <c r="D143" s="124">
        <v>0</v>
      </c>
      <c r="E143" s="124">
        <v>0</v>
      </c>
      <c r="F143" s="124">
        <v>0</v>
      </c>
      <c r="G143" s="124">
        <v>0</v>
      </c>
      <c r="H143" s="124">
        <v>0</v>
      </c>
      <c r="I143" s="124">
        <v>0</v>
      </c>
      <c r="J143" s="1373">
        <v>155941.22</v>
      </c>
      <c r="K143" s="1373">
        <v>159976</v>
      </c>
      <c r="L143" s="2766">
        <v>0</v>
      </c>
      <c r="M143" s="2935">
        <v>0</v>
      </c>
      <c r="N143" s="3571">
        <v>0</v>
      </c>
      <c r="O143" s="3565">
        <v>0</v>
      </c>
      <c r="P143" s="2960">
        <v>0</v>
      </c>
      <c r="Q143" s="2767">
        <v>0</v>
      </c>
      <c r="R143" s="1378">
        <v>0</v>
      </c>
      <c r="S143" s="111"/>
      <c r="T143" s="111"/>
      <c r="U143" s="111"/>
      <c r="V143" s="111"/>
    </row>
    <row r="144" spans="1:41" x14ac:dyDescent="0.2">
      <c r="A144" s="1453">
        <v>322</v>
      </c>
      <c r="B144" s="1453"/>
      <c r="C144" s="1098" t="s">
        <v>699</v>
      </c>
      <c r="D144" s="110">
        <v>0</v>
      </c>
      <c r="E144" s="110">
        <v>0</v>
      </c>
      <c r="F144" s="110">
        <v>0</v>
      </c>
      <c r="G144" s="110">
        <v>0</v>
      </c>
      <c r="H144" s="110">
        <v>0</v>
      </c>
      <c r="I144" s="110">
        <v>0</v>
      </c>
      <c r="J144" s="1368">
        <v>2393188.44</v>
      </c>
      <c r="K144" s="1368">
        <v>5615422</v>
      </c>
      <c r="L144" s="3573">
        <v>2651080</v>
      </c>
      <c r="M144" s="3572">
        <v>1033550</v>
      </c>
      <c r="N144" s="3572">
        <v>1033074</v>
      </c>
      <c r="O144" s="3566">
        <v>1033074</v>
      </c>
      <c r="P144" s="2961">
        <v>0</v>
      </c>
      <c r="Q144" s="2029">
        <v>0</v>
      </c>
      <c r="R144" s="1370">
        <v>0</v>
      </c>
      <c r="S144" s="111"/>
      <c r="T144" s="111"/>
      <c r="U144" s="111"/>
      <c r="V144" s="111"/>
      <c r="W144" s="121"/>
      <c r="X144" s="122"/>
    </row>
    <row r="145" spans="1:22" x14ac:dyDescent="0.2">
      <c r="A145" s="1453">
        <v>322</v>
      </c>
      <c r="B145" s="1453"/>
      <c r="C145" s="1098" t="s">
        <v>844</v>
      </c>
      <c r="D145" s="110">
        <v>0</v>
      </c>
      <c r="E145" s="123">
        <v>0</v>
      </c>
      <c r="F145" s="110">
        <v>0</v>
      </c>
      <c r="G145" s="123">
        <v>0</v>
      </c>
      <c r="H145" s="110">
        <v>0</v>
      </c>
      <c r="I145" s="123">
        <v>0</v>
      </c>
      <c r="J145" s="1373">
        <v>0</v>
      </c>
      <c r="K145" s="1373">
        <v>0</v>
      </c>
      <c r="L145" s="3573">
        <v>0</v>
      </c>
      <c r="M145" s="3572">
        <v>14250</v>
      </c>
      <c r="N145" s="3572">
        <v>14250</v>
      </c>
      <c r="O145" s="3567"/>
      <c r="P145" s="2962">
        <v>14250</v>
      </c>
      <c r="Q145" s="2028">
        <v>0</v>
      </c>
      <c r="R145" s="1374">
        <v>0</v>
      </c>
      <c r="S145" s="111"/>
      <c r="T145" s="111"/>
      <c r="U145" s="111"/>
      <c r="V145" s="111"/>
    </row>
    <row r="146" spans="1:22" x14ac:dyDescent="0.2">
      <c r="A146" s="1453">
        <v>322</v>
      </c>
      <c r="B146" s="1453"/>
      <c r="C146" s="1098" t="s">
        <v>784</v>
      </c>
      <c r="D146" s="110">
        <v>179660.04</v>
      </c>
      <c r="E146" s="110">
        <v>179660.04</v>
      </c>
      <c r="F146" s="110">
        <v>179660.04</v>
      </c>
      <c r="G146" s="110">
        <v>179660.04</v>
      </c>
      <c r="H146" s="110">
        <v>179660.04</v>
      </c>
      <c r="I146" s="110">
        <v>179660.04</v>
      </c>
      <c r="J146" s="1364">
        <v>0</v>
      </c>
      <c r="K146" s="1364">
        <v>0</v>
      </c>
      <c r="L146" s="3573">
        <v>284526</v>
      </c>
      <c r="M146" s="3572">
        <v>0</v>
      </c>
      <c r="N146" s="3572">
        <v>0</v>
      </c>
      <c r="O146" s="3567">
        <v>0</v>
      </c>
      <c r="P146" s="2962">
        <v>0</v>
      </c>
      <c r="Q146" s="2028">
        <v>0</v>
      </c>
      <c r="R146" s="1370">
        <v>0</v>
      </c>
      <c r="S146" s="111"/>
      <c r="T146" s="111"/>
      <c r="U146" s="111"/>
      <c r="V146" s="111"/>
    </row>
    <row r="147" spans="1:22" x14ac:dyDescent="0.2">
      <c r="A147" s="1453">
        <v>332</v>
      </c>
      <c r="B147" s="1453"/>
      <c r="C147" s="1098" t="s">
        <v>953</v>
      </c>
      <c r="D147" s="110">
        <v>200000</v>
      </c>
      <c r="E147" s="123">
        <v>119317.84</v>
      </c>
      <c r="F147" s="110">
        <v>200000</v>
      </c>
      <c r="G147" s="123">
        <v>119317.84</v>
      </c>
      <c r="H147" s="110">
        <v>200000</v>
      </c>
      <c r="I147" s="123">
        <v>119317.84</v>
      </c>
      <c r="J147" s="1368">
        <v>10000</v>
      </c>
      <c r="K147" s="1368">
        <v>0</v>
      </c>
      <c r="L147" s="3573">
        <v>0</v>
      </c>
      <c r="M147" s="3572">
        <v>0</v>
      </c>
      <c r="N147" s="3572">
        <v>0</v>
      </c>
      <c r="O147" s="3567">
        <v>79686</v>
      </c>
      <c r="P147" s="2962">
        <v>0</v>
      </c>
      <c r="Q147" s="2028">
        <v>0</v>
      </c>
      <c r="R147" s="1370">
        <v>0</v>
      </c>
      <c r="S147" s="111"/>
      <c r="T147" s="111"/>
      <c r="U147" s="111"/>
      <c r="V147" s="111"/>
    </row>
    <row r="148" spans="1:22" x14ac:dyDescent="0.2">
      <c r="A148" s="1453">
        <v>332</v>
      </c>
      <c r="B148" s="1453"/>
      <c r="C148" s="1096" t="s">
        <v>786</v>
      </c>
      <c r="D148" s="110">
        <v>34114.85</v>
      </c>
      <c r="E148" s="124">
        <v>34114.85</v>
      </c>
      <c r="F148" s="110">
        <v>34114.85</v>
      </c>
      <c r="G148" s="124">
        <v>34114.85</v>
      </c>
      <c r="H148" s="110">
        <v>34114.85</v>
      </c>
      <c r="I148" s="124">
        <v>34114.85</v>
      </c>
      <c r="J148" s="1375">
        <v>29961.11</v>
      </c>
      <c r="K148" s="1375">
        <v>0</v>
      </c>
      <c r="L148" s="3291">
        <v>11264</v>
      </c>
      <c r="M148" s="3497">
        <v>0</v>
      </c>
      <c r="N148" s="3497">
        <v>0</v>
      </c>
      <c r="O148" s="3567">
        <v>0</v>
      </c>
      <c r="P148" s="2962">
        <v>0</v>
      </c>
      <c r="Q148" s="2028">
        <v>0</v>
      </c>
      <c r="R148" s="1374">
        <v>0</v>
      </c>
      <c r="S148" s="111"/>
      <c r="T148" s="111"/>
      <c r="U148" s="111"/>
      <c r="V148" s="111"/>
    </row>
    <row r="149" spans="1:22" x14ac:dyDescent="0.2">
      <c r="A149" s="1453">
        <v>322</v>
      </c>
      <c r="B149" s="1453"/>
      <c r="C149" s="1096" t="s">
        <v>152</v>
      </c>
      <c r="D149" s="110">
        <v>5000</v>
      </c>
      <c r="E149" s="110">
        <v>5000</v>
      </c>
      <c r="F149" s="110">
        <v>5000</v>
      </c>
      <c r="G149" s="110">
        <v>5000</v>
      </c>
      <c r="H149" s="110">
        <v>5000</v>
      </c>
      <c r="I149" s="110">
        <v>5000</v>
      </c>
      <c r="J149" s="1368">
        <v>0</v>
      </c>
      <c r="K149" s="1368">
        <v>0</v>
      </c>
      <c r="L149" s="3291">
        <v>0</v>
      </c>
      <c r="M149" s="3497">
        <v>0</v>
      </c>
      <c r="N149" s="3497">
        <v>0</v>
      </c>
      <c r="O149" s="3567">
        <v>0</v>
      </c>
      <c r="P149" s="2962">
        <v>0</v>
      </c>
      <c r="Q149" s="2028">
        <v>0</v>
      </c>
      <c r="R149" s="1477">
        <v>0</v>
      </c>
      <c r="S149" s="111"/>
      <c r="T149" s="111"/>
      <c r="U149" s="111"/>
      <c r="V149" s="111"/>
    </row>
    <row r="150" spans="1:22" x14ac:dyDescent="0.2">
      <c r="A150" s="1453">
        <v>332</v>
      </c>
      <c r="B150" s="1453"/>
      <c r="C150" s="1096" t="s">
        <v>948</v>
      </c>
      <c r="D150" s="110">
        <v>0</v>
      </c>
      <c r="E150" s="110"/>
      <c r="F150" s="110">
        <v>0</v>
      </c>
      <c r="G150" s="110"/>
      <c r="H150" s="110">
        <v>0</v>
      </c>
      <c r="I150" s="110"/>
      <c r="J150" s="1368">
        <v>0</v>
      </c>
      <c r="K150" s="1368">
        <v>0</v>
      </c>
      <c r="L150" s="3291">
        <v>12460</v>
      </c>
      <c r="M150" s="3497">
        <v>0</v>
      </c>
      <c r="N150" s="3497">
        <v>0</v>
      </c>
      <c r="O150" s="3568">
        <v>0</v>
      </c>
      <c r="P150" s="2963">
        <v>0</v>
      </c>
      <c r="Q150" s="2028">
        <v>0</v>
      </c>
      <c r="R150" s="3289">
        <v>0</v>
      </c>
      <c r="S150" s="111"/>
      <c r="T150" s="111"/>
      <c r="U150" s="111"/>
      <c r="V150" s="111"/>
    </row>
    <row r="151" spans="1:22" x14ac:dyDescent="0.2">
      <c r="A151" s="1453">
        <v>332</v>
      </c>
      <c r="B151" s="1453"/>
      <c r="C151" s="1096" t="s">
        <v>797</v>
      </c>
      <c r="D151" s="110">
        <v>49875</v>
      </c>
      <c r="E151" s="110"/>
      <c r="F151" s="110">
        <v>49875</v>
      </c>
      <c r="G151" s="110"/>
      <c r="H151" s="110">
        <v>49875</v>
      </c>
      <c r="I151" s="110"/>
      <c r="J151" s="1368">
        <v>0</v>
      </c>
      <c r="K151" s="1368">
        <v>35695</v>
      </c>
      <c r="L151" s="3291">
        <v>0</v>
      </c>
      <c r="M151" s="3497">
        <v>740000</v>
      </c>
      <c r="N151" s="3497">
        <v>610000</v>
      </c>
      <c r="O151" s="3567">
        <v>563455</v>
      </c>
      <c r="P151" s="2962">
        <v>0</v>
      </c>
      <c r="Q151" s="2014"/>
      <c r="R151" s="1401">
        <v>0</v>
      </c>
      <c r="S151" s="111"/>
      <c r="T151" s="111"/>
      <c r="U151" s="111"/>
      <c r="V151" s="111"/>
    </row>
    <row r="152" spans="1:22" x14ac:dyDescent="0.2">
      <c r="A152" s="1453">
        <v>332</v>
      </c>
      <c r="B152" s="1453"/>
      <c r="C152" s="1096" t="s">
        <v>939</v>
      </c>
      <c r="D152" s="110">
        <v>0</v>
      </c>
      <c r="E152" s="123"/>
      <c r="F152" s="110">
        <v>0</v>
      </c>
      <c r="G152" s="123"/>
      <c r="H152" s="110">
        <v>0</v>
      </c>
      <c r="I152" s="123"/>
      <c r="J152" s="1368">
        <v>5000</v>
      </c>
      <c r="K152" s="1368">
        <v>8000</v>
      </c>
      <c r="L152" s="3291">
        <v>0</v>
      </c>
      <c r="M152" s="3497">
        <v>0</v>
      </c>
      <c r="N152" s="3497">
        <v>0</v>
      </c>
      <c r="O152" s="3569">
        <v>0</v>
      </c>
      <c r="P152" s="2964">
        <v>0</v>
      </c>
      <c r="Q152" s="2028">
        <v>0</v>
      </c>
      <c r="R152" s="1370">
        <v>0</v>
      </c>
      <c r="S152" s="111"/>
      <c r="T152" s="111"/>
      <c r="U152" s="111"/>
      <c r="V152" s="111"/>
    </row>
    <row r="153" spans="1:22" ht="13.5" thickBot="1" x14ac:dyDescent="0.25">
      <c r="A153" s="2505">
        <v>239</v>
      </c>
      <c r="B153" s="2505" t="s">
        <v>97</v>
      </c>
      <c r="C153" s="2771" t="s">
        <v>153</v>
      </c>
      <c r="D153" s="110"/>
      <c r="E153" s="124"/>
      <c r="F153" s="110"/>
      <c r="G153" s="124"/>
      <c r="H153" s="110"/>
      <c r="I153" s="124"/>
      <c r="J153" s="1373">
        <v>0</v>
      </c>
      <c r="K153" s="1373">
        <v>0</v>
      </c>
      <c r="L153" s="3292">
        <v>0</v>
      </c>
      <c r="M153" s="3499">
        <v>0</v>
      </c>
      <c r="N153" s="3499">
        <v>0</v>
      </c>
      <c r="O153" s="3570">
        <v>0</v>
      </c>
      <c r="P153" s="2965">
        <v>0</v>
      </c>
      <c r="Q153" s="2030">
        <v>0</v>
      </c>
      <c r="R153" s="1370">
        <v>0</v>
      </c>
      <c r="S153" s="111"/>
      <c r="T153" s="111"/>
      <c r="U153" s="111"/>
      <c r="V153" s="111"/>
    </row>
    <row r="154" spans="1:22" ht="13.5" thickBot="1" x14ac:dyDescent="0.25">
      <c r="A154" s="3703" t="s">
        <v>146</v>
      </c>
      <c r="B154" s="3704"/>
      <c r="C154" s="3704"/>
      <c r="D154" s="2756">
        <f>D146+D147+D148+D149+D151</f>
        <v>468649.89</v>
      </c>
      <c r="E154" s="2756">
        <f>SUM(E143:E153)</f>
        <v>338092.73</v>
      </c>
      <c r="F154" s="2756">
        <f>F146+F147+F148+F149+F151</f>
        <v>468649.89</v>
      </c>
      <c r="G154" s="2756">
        <f>SUM(G143:G153)</f>
        <v>338092.73</v>
      </c>
      <c r="H154" s="2756">
        <f>H146+H147+H148+H149+H151</f>
        <v>468649.89</v>
      </c>
      <c r="I154" s="2756">
        <f>SUM(I143:I153)</f>
        <v>338092.73</v>
      </c>
      <c r="J154" s="2421">
        <f>SUM(J143:J153)</f>
        <v>2594090.77</v>
      </c>
      <c r="K154" s="2421">
        <f>K146+K147+K148+K149+K151+K150+K153+K145+K152+K144+K143</f>
        <v>5819093</v>
      </c>
      <c r="L154" s="2559">
        <f>SUM(L143:L153)</f>
        <v>2959330</v>
      </c>
      <c r="M154" s="2559">
        <f>M143+M144+M145+M146+M147+M148+M149+M150+M151+M152+M153</f>
        <v>1787800</v>
      </c>
      <c r="N154" s="2775">
        <f>SUM(N143,N144,N145,N146,N147,N148,N149,N150,N151,N152,N153)</f>
        <v>1657324</v>
      </c>
      <c r="O154" s="2776">
        <f>SUM(O143,O144,O145,O146,O147,O148,O149,O150,O151,O152,O153)</f>
        <v>1676215</v>
      </c>
      <c r="P154" s="2844">
        <f>SUM(P143,P144,P145,P146,P147,P148,P149,P150,P151,P152,P153)</f>
        <v>14250</v>
      </c>
      <c r="Q154" s="2694">
        <f>SUM(Q143,Q144,Q145,Q146,Q147,Q148,Q149,Q150,Q151,Q152,Q153)</f>
        <v>0</v>
      </c>
      <c r="R154" s="2405">
        <f>R143+R144+R145+R146+R147+R148+R149+R150+R151+R152+R153</f>
        <v>0</v>
      </c>
      <c r="S154" s="119"/>
      <c r="T154" s="119"/>
      <c r="U154" s="119"/>
      <c r="V154" s="119"/>
    </row>
    <row r="155" spans="1:22" ht="13.5" thickBot="1" x14ac:dyDescent="0.25">
      <c r="A155" s="141" t="s">
        <v>154</v>
      </c>
      <c r="B155" s="142"/>
      <c r="C155" s="1817"/>
      <c r="D155" s="2772">
        <f>SUM(D132,D154)</f>
        <v>471649.89</v>
      </c>
      <c r="E155" s="2772">
        <f>E154+E132</f>
        <v>338092.73</v>
      </c>
      <c r="F155" s="2772">
        <f>SUM(F132,F154)</f>
        <v>471649.89</v>
      </c>
      <c r="G155" s="2772">
        <f>G154+G132</f>
        <v>338092.73</v>
      </c>
      <c r="H155" s="2772">
        <f>SUM(H132,H154)</f>
        <v>471649.89</v>
      </c>
      <c r="I155" s="2772">
        <f>I154+I132</f>
        <v>338092.73</v>
      </c>
      <c r="J155" s="2773">
        <f>J132+J154</f>
        <v>2604287.5699999998</v>
      </c>
      <c r="K155" s="2773">
        <f>SUM(K132,K154)</f>
        <v>5822473</v>
      </c>
      <c r="L155" s="2774">
        <f>L132+L154</f>
        <v>2970920</v>
      </c>
      <c r="M155" s="2774">
        <f>M132+M154</f>
        <v>1812800</v>
      </c>
      <c r="N155" s="1488">
        <f>SUM(N132,N154)</f>
        <v>1701738</v>
      </c>
      <c r="O155" s="1818">
        <f>SUM(O132,O154)+O138</f>
        <v>1729284</v>
      </c>
      <c r="P155" s="2845">
        <f>SUM(P132,P154)+P138</f>
        <v>64250</v>
      </c>
      <c r="Q155" s="1819">
        <f>SUM(Q132,Q154)</f>
        <v>30000</v>
      </c>
      <c r="R155" s="2773">
        <f>R132+R154</f>
        <v>20000</v>
      </c>
      <c r="S155" s="126"/>
      <c r="T155" s="126"/>
      <c r="U155" s="126"/>
      <c r="V155" s="126"/>
    </row>
    <row r="156" spans="1:22" x14ac:dyDescent="0.2">
      <c r="P156" s="2941"/>
    </row>
    <row r="157" spans="1:22" hidden="1" x14ac:dyDescent="0.2">
      <c r="P157" s="2941"/>
    </row>
    <row r="158" spans="1:22" hidden="1" x14ac:dyDescent="0.2">
      <c r="P158" s="2941"/>
    </row>
    <row r="159" spans="1:22" hidden="1" x14ac:dyDescent="0.2">
      <c r="P159" s="2941"/>
    </row>
    <row r="160" spans="1:22" hidden="1" x14ac:dyDescent="0.2">
      <c r="P160" s="2941"/>
    </row>
    <row r="161" spans="1:22" hidden="1" x14ac:dyDescent="0.2">
      <c r="P161" s="2941"/>
    </row>
    <row r="162" spans="1:22" hidden="1" x14ac:dyDescent="0.2">
      <c r="P162" s="2941"/>
    </row>
    <row r="163" spans="1:22" hidden="1" x14ac:dyDescent="0.2">
      <c r="P163" s="2941"/>
    </row>
    <row r="164" spans="1:22" hidden="1" x14ac:dyDescent="0.2">
      <c r="P164" s="2941"/>
    </row>
    <row r="165" spans="1:22" hidden="1" x14ac:dyDescent="0.2">
      <c r="P165" s="2941"/>
    </row>
    <row r="166" spans="1:22" hidden="1" x14ac:dyDescent="0.2">
      <c r="P166" s="2941"/>
    </row>
    <row r="167" spans="1:22" hidden="1" x14ac:dyDescent="0.2">
      <c r="P167" s="2941"/>
    </row>
    <row r="168" spans="1:22" hidden="1" x14ac:dyDescent="0.2">
      <c r="P168" s="2941"/>
    </row>
    <row r="169" spans="1:22" hidden="1" x14ac:dyDescent="0.2">
      <c r="P169" s="2941"/>
    </row>
    <row r="170" spans="1:22" hidden="1" x14ac:dyDescent="0.2">
      <c r="P170" s="2941"/>
    </row>
    <row r="171" spans="1:22" x14ac:dyDescent="0.2">
      <c r="P171" s="2941"/>
    </row>
    <row r="172" spans="1:22" x14ac:dyDescent="0.2">
      <c r="C172" s="522" t="s">
        <v>85</v>
      </c>
      <c r="P172" s="2941"/>
    </row>
    <row r="173" spans="1:22" ht="15.75" hidden="1" x14ac:dyDescent="0.25">
      <c r="C173" s="127"/>
    </row>
    <row r="174" spans="1:22" ht="16.5" thickBot="1" x14ac:dyDescent="0.3">
      <c r="C174" s="127"/>
      <c r="H174" s="128" t="s">
        <v>155</v>
      </c>
      <c r="I174" s="128"/>
      <c r="J174" s="129"/>
      <c r="K174" s="129"/>
      <c r="L174" s="129"/>
      <c r="M174" s="3700" t="s">
        <v>155</v>
      </c>
      <c r="N174" s="3700"/>
      <c r="O174" s="3700"/>
      <c r="P174" s="3700"/>
      <c r="Q174" s="3700"/>
      <c r="R174" s="3700"/>
      <c r="S174" s="129"/>
      <c r="T174" s="129"/>
      <c r="U174" s="129"/>
      <c r="V174" s="129"/>
    </row>
    <row r="175" spans="1:22" ht="13.5" hidden="1" thickBot="1" x14ac:dyDescent="0.25"/>
    <row r="176" spans="1:22" ht="23.25" customHeight="1" thickBot="1" x14ac:dyDescent="0.25">
      <c r="A176" s="2655" t="s">
        <v>85</v>
      </c>
      <c r="B176" s="2782"/>
      <c r="C176" s="2657"/>
      <c r="D176" s="2769" t="s">
        <v>148</v>
      </c>
      <c r="E176" s="2770" t="s">
        <v>149</v>
      </c>
      <c r="F176" s="2769" t="s">
        <v>148</v>
      </c>
      <c r="G176" s="2770" t="s">
        <v>149</v>
      </c>
      <c r="H176" s="2769" t="s">
        <v>148</v>
      </c>
      <c r="I176" s="2770" t="s">
        <v>149</v>
      </c>
      <c r="J176" s="2660">
        <v>2018</v>
      </c>
      <c r="K176" s="3286" t="s">
        <v>825</v>
      </c>
      <c r="L176" s="3287" t="s">
        <v>958</v>
      </c>
      <c r="M176" s="2661">
        <v>2021</v>
      </c>
      <c r="N176" s="2662" t="s">
        <v>872</v>
      </c>
      <c r="O176" s="2662" t="s">
        <v>927</v>
      </c>
      <c r="P176" s="2944">
        <v>2022</v>
      </c>
      <c r="Q176" s="2945">
        <v>2023</v>
      </c>
      <c r="R176" s="2946">
        <v>2024</v>
      </c>
      <c r="S176" s="69"/>
      <c r="T176" s="69"/>
      <c r="U176" s="69"/>
      <c r="V176" s="70"/>
    </row>
    <row r="177" spans="1:22" ht="15.6" customHeight="1" x14ac:dyDescent="0.2">
      <c r="A177" s="2514">
        <v>453</v>
      </c>
      <c r="B177" s="2778"/>
      <c r="C177" s="2779" t="s">
        <v>817</v>
      </c>
      <c r="D177" s="2125"/>
      <c r="E177" s="1832"/>
      <c r="F177" s="1831"/>
      <c r="G177" s="1832"/>
      <c r="H177" s="1831"/>
      <c r="I177" s="1832"/>
      <c r="J177" s="1833">
        <v>10000</v>
      </c>
      <c r="K177" s="1833">
        <v>31000</v>
      </c>
      <c r="M177" s="3576">
        <v>0</v>
      </c>
      <c r="N177" s="3576">
        <v>400</v>
      </c>
      <c r="O177" s="3578">
        <v>400</v>
      </c>
      <c r="P177" s="2953">
        <v>0</v>
      </c>
      <c r="Q177" s="2781">
        <v>0</v>
      </c>
      <c r="R177" s="2780">
        <v>0</v>
      </c>
      <c r="S177" s="69"/>
      <c r="T177" s="69"/>
      <c r="U177" s="69"/>
      <c r="V177" s="70"/>
    </row>
    <row r="178" spans="1:22" ht="15.6" customHeight="1" x14ac:dyDescent="0.2">
      <c r="A178" s="1548">
        <v>453</v>
      </c>
      <c r="B178" s="2127"/>
      <c r="C178" s="1648" t="s">
        <v>876</v>
      </c>
      <c r="D178" s="2125"/>
      <c r="E178" s="1832"/>
      <c r="F178" s="1831"/>
      <c r="G178" s="1832"/>
      <c r="H178" s="1831"/>
      <c r="I178" s="1832"/>
      <c r="J178" s="1833"/>
      <c r="K178" s="1833"/>
      <c r="L178" s="3574"/>
      <c r="M178" s="2780">
        <v>0</v>
      </c>
      <c r="N178" s="2780">
        <v>3088</v>
      </c>
      <c r="O178" s="3522">
        <v>3088</v>
      </c>
      <c r="P178" s="2954">
        <v>0</v>
      </c>
      <c r="Q178" s="2777"/>
      <c r="R178" s="2031"/>
      <c r="S178" s="69"/>
      <c r="T178" s="69"/>
      <c r="U178" s="69"/>
      <c r="V178" s="70"/>
    </row>
    <row r="179" spans="1:22" ht="15.6" customHeight="1" x14ac:dyDescent="0.2">
      <c r="A179" s="1548"/>
      <c r="B179" s="2127"/>
      <c r="C179" s="1648" t="s">
        <v>877</v>
      </c>
      <c r="D179" s="2125"/>
      <c r="E179" s="1832"/>
      <c r="F179" s="1831"/>
      <c r="G179" s="1832"/>
      <c r="H179" s="1831"/>
      <c r="I179" s="1832"/>
      <c r="J179" s="1833"/>
      <c r="K179" s="1833"/>
      <c r="L179" s="3574"/>
      <c r="M179" s="2031">
        <v>0</v>
      </c>
      <c r="N179" s="2031">
        <v>5240</v>
      </c>
      <c r="O179" s="3522">
        <v>5240</v>
      </c>
      <c r="P179" s="2954">
        <v>0</v>
      </c>
      <c r="Q179" s="2777"/>
      <c r="R179" s="2031"/>
      <c r="S179" s="69"/>
      <c r="T179" s="69"/>
      <c r="U179" s="69"/>
      <c r="V179" s="70"/>
    </row>
    <row r="180" spans="1:22" ht="15.6" customHeight="1" x14ac:dyDescent="0.2">
      <c r="A180" s="1548"/>
      <c r="B180" s="2127"/>
      <c r="C180" s="1648" t="s">
        <v>845</v>
      </c>
      <c r="D180" s="2125"/>
      <c r="E180" s="1832"/>
      <c r="F180" s="1831"/>
      <c r="G180" s="1832"/>
      <c r="H180" s="1831"/>
      <c r="I180" s="1832"/>
      <c r="J180" s="1833"/>
      <c r="K180" s="1833"/>
      <c r="L180" s="3574">
        <v>11712</v>
      </c>
      <c r="M180" s="2031">
        <v>0</v>
      </c>
      <c r="N180" s="2031">
        <v>20683</v>
      </c>
      <c r="O180" s="3522">
        <v>20683</v>
      </c>
      <c r="P180" s="2954">
        <v>22174.799999999999</v>
      </c>
      <c r="Q180" s="2777"/>
      <c r="R180" s="2031"/>
      <c r="S180" s="69"/>
      <c r="T180" s="69"/>
      <c r="U180" s="69"/>
      <c r="V180" s="70"/>
    </row>
    <row r="181" spans="1:22" ht="15.6" customHeight="1" x14ac:dyDescent="0.2">
      <c r="A181" s="1548"/>
      <c r="B181" s="2127"/>
      <c r="C181" s="1648" t="s">
        <v>956</v>
      </c>
      <c r="D181" s="2125"/>
      <c r="E181" s="1832"/>
      <c r="F181" s="1831"/>
      <c r="G181" s="1832"/>
      <c r="H181" s="1831"/>
      <c r="I181" s="1832"/>
      <c r="J181" s="1833"/>
      <c r="K181" s="1833"/>
      <c r="L181" s="3574">
        <v>8000</v>
      </c>
      <c r="M181" s="2031">
        <v>0</v>
      </c>
      <c r="N181" s="2031">
        <v>12539</v>
      </c>
      <c r="O181" s="3579">
        <v>12539</v>
      </c>
      <c r="P181" s="2966">
        <v>0</v>
      </c>
      <c r="Q181" s="2777"/>
      <c r="R181" s="2031"/>
      <c r="S181" s="69" t="s">
        <v>893</v>
      </c>
      <c r="T181" s="69"/>
      <c r="U181" s="69"/>
      <c r="V181" s="70"/>
    </row>
    <row r="182" spans="1:22" ht="15.6" customHeight="1" x14ac:dyDescent="0.2">
      <c r="A182" s="1548"/>
      <c r="B182" s="2127"/>
      <c r="C182" s="1648" t="s">
        <v>949</v>
      </c>
      <c r="D182" s="2125"/>
      <c r="E182" s="1832"/>
      <c r="F182" s="1831"/>
      <c r="G182" s="1832"/>
      <c r="H182" s="1831"/>
      <c r="I182" s="1832"/>
      <c r="J182" s="1833"/>
      <c r="K182" s="1833"/>
      <c r="L182" s="3574">
        <v>29961</v>
      </c>
      <c r="M182" s="3577">
        <v>0</v>
      </c>
      <c r="N182" s="3577">
        <v>0</v>
      </c>
      <c r="O182" s="3579">
        <v>0</v>
      </c>
      <c r="P182" s="2966">
        <v>0</v>
      </c>
      <c r="Q182" s="2777"/>
      <c r="R182" s="2031"/>
      <c r="S182" s="69"/>
      <c r="T182" s="69"/>
      <c r="U182" s="69"/>
      <c r="V182" s="70"/>
    </row>
    <row r="183" spans="1:22" ht="15.6" customHeight="1" x14ac:dyDescent="0.2">
      <c r="A183" s="1453">
        <v>411</v>
      </c>
      <c r="B183" s="1453"/>
      <c r="C183" s="2128" t="s">
        <v>636</v>
      </c>
      <c r="D183" s="1831"/>
      <c r="E183" s="1832"/>
      <c r="F183" s="1831"/>
      <c r="G183" s="1832"/>
      <c r="H183" s="1831"/>
      <c r="I183" s="1832"/>
      <c r="J183" s="1368">
        <v>3908.02</v>
      </c>
      <c r="K183" s="1368">
        <v>3180</v>
      </c>
      <c r="L183" s="3291">
        <v>2970</v>
      </c>
      <c r="M183" s="3497">
        <v>0</v>
      </c>
      <c r="N183" s="3497">
        <v>0</v>
      </c>
      <c r="O183" s="3522">
        <v>1900</v>
      </c>
      <c r="P183" s="2954">
        <v>0</v>
      </c>
      <c r="Q183" s="2033"/>
      <c r="R183" s="2042"/>
      <c r="S183" s="69"/>
      <c r="T183" s="69"/>
      <c r="U183" s="69"/>
      <c r="V183" s="70"/>
    </row>
    <row r="184" spans="1:22" ht="15.6" customHeight="1" x14ac:dyDescent="0.2">
      <c r="A184" s="1453">
        <v>453</v>
      </c>
      <c r="B184" s="1453"/>
      <c r="C184" s="2129" t="s">
        <v>769</v>
      </c>
      <c r="D184" s="1831"/>
      <c r="E184" s="1832"/>
      <c r="F184" s="1831"/>
      <c r="G184" s="1832"/>
      <c r="H184" s="1831"/>
      <c r="I184" s="1832"/>
      <c r="J184" s="1375"/>
      <c r="K184" s="1373">
        <v>10000</v>
      </c>
      <c r="L184" s="3291">
        <v>34600</v>
      </c>
      <c r="M184" s="3497">
        <v>30000</v>
      </c>
      <c r="N184" s="3497">
        <v>6103</v>
      </c>
      <c r="O184" s="3580">
        <v>19470</v>
      </c>
      <c r="P184" s="2967">
        <v>0</v>
      </c>
      <c r="Q184" s="2138"/>
      <c r="R184" s="2042"/>
      <c r="S184" s="69"/>
      <c r="T184" s="69"/>
      <c r="U184" s="69"/>
      <c r="V184" s="70"/>
    </row>
    <row r="185" spans="1:22" ht="15.6" customHeight="1" x14ac:dyDescent="0.2">
      <c r="A185" s="1453">
        <v>453</v>
      </c>
      <c r="B185" s="1453"/>
      <c r="C185" s="2129" t="s">
        <v>871</v>
      </c>
      <c r="D185" s="1831"/>
      <c r="E185" s="1832"/>
      <c r="F185" s="1831"/>
      <c r="G185" s="1832"/>
      <c r="H185" s="1831"/>
      <c r="I185" s="1832"/>
      <c r="J185" s="1373"/>
      <c r="K185" s="1418"/>
      <c r="L185" s="3291">
        <v>62602</v>
      </c>
      <c r="M185" s="3497">
        <v>60000</v>
      </c>
      <c r="N185" s="3497">
        <v>0</v>
      </c>
      <c r="O185" s="3580">
        <v>0</v>
      </c>
      <c r="P185" s="2967">
        <v>0</v>
      </c>
      <c r="Q185" s="2138"/>
      <c r="R185" s="2042"/>
      <c r="S185" s="69"/>
      <c r="T185" s="69"/>
      <c r="U185" s="69"/>
      <c r="V185" s="70"/>
    </row>
    <row r="186" spans="1:22" ht="15.6" customHeight="1" x14ac:dyDescent="0.2">
      <c r="A186" s="1453">
        <v>453</v>
      </c>
      <c r="B186" s="1453"/>
      <c r="C186" s="2129" t="s">
        <v>878</v>
      </c>
      <c r="D186" s="1831"/>
      <c r="E186" s="1832"/>
      <c r="F186" s="1831"/>
      <c r="G186" s="1832"/>
      <c r="H186" s="1831"/>
      <c r="I186" s="1832"/>
      <c r="J186" s="1373"/>
      <c r="K186" s="1418"/>
      <c r="L186" s="3291"/>
      <c r="M186" s="3497"/>
      <c r="N186" s="3497">
        <v>9955.41</v>
      </c>
      <c r="O186" s="3580">
        <v>9955</v>
      </c>
      <c r="P186" s="2967">
        <v>0</v>
      </c>
      <c r="Q186" s="2138"/>
      <c r="R186" s="2042"/>
      <c r="S186" s="69" t="s">
        <v>926</v>
      </c>
      <c r="T186" s="69"/>
      <c r="U186" s="69"/>
      <c r="V186" s="70"/>
    </row>
    <row r="187" spans="1:22" ht="15.6" customHeight="1" x14ac:dyDescent="0.2">
      <c r="A187" s="1453">
        <v>454</v>
      </c>
      <c r="B187" s="1453" t="s">
        <v>94</v>
      </c>
      <c r="C187" s="2129" t="s">
        <v>156</v>
      </c>
      <c r="D187" s="1831"/>
      <c r="E187" s="1832"/>
      <c r="F187" s="1831"/>
      <c r="G187" s="1832"/>
      <c r="H187" s="1831"/>
      <c r="I187" s="1832"/>
      <c r="J187" s="1373">
        <v>0</v>
      </c>
      <c r="K187" s="1373">
        <v>66770</v>
      </c>
      <c r="L187" s="3291">
        <v>0</v>
      </c>
      <c r="M187" s="3497">
        <v>0</v>
      </c>
      <c r="N187" s="3497">
        <v>37440</v>
      </c>
      <c r="O187" s="3580">
        <v>37440</v>
      </c>
      <c r="P187" s="2967">
        <v>0</v>
      </c>
      <c r="Q187" s="2033">
        <v>0</v>
      </c>
      <c r="R187" s="2042">
        <v>0</v>
      </c>
      <c r="S187" s="69"/>
      <c r="T187" s="69"/>
      <c r="U187" s="69"/>
      <c r="V187" s="70"/>
    </row>
    <row r="188" spans="1:22" x14ac:dyDescent="0.2">
      <c r="A188" s="1453">
        <v>454</v>
      </c>
      <c r="B188" s="1453" t="s">
        <v>97</v>
      </c>
      <c r="C188" s="2129" t="s">
        <v>157</v>
      </c>
      <c r="D188" s="123"/>
      <c r="E188" s="130"/>
      <c r="F188" s="123"/>
      <c r="G188" s="130"/>
      <c r="H188" s="123"/>
      <c r="I188" s="2010"/>
      <c r="J188" s="1418">
        <v>16000</v>
      </c>
      <c r="K188" s="1522">
        <v>0</v>
      </c>
      <c r="L188" s="3291">
        <v>0</v>
      </c>
      <c r="M188" s="3495">
        <v>0</v>
      </c>
      <c r="N188" s="3495">
        <v>0</v>
      </c>
      <c r="O188" s="3580">
        <v>0</v>
      </c>
      <c r="P188" s="2967">
        <v>79686</v>
      </c>
      <c r="Q188" s="2033">
        <v>0</v>
      </c>
      <c r="R188" s="2042">
        <v>0</v>
      </c>
      <c r="S188" s="111"/>
      <c r="T188" s="111"/>
      <c r="U188" s="111"/>
      <c r="V188" s="111"/>
    </row>
    <row r="189" spans="1:22" x14ac:dyDescent="0.2">
      <c r="A189" s="1453">
        <v>456</v>
      </c>
      <c r="B189" s="1453" t="s">
        <v>97</v>
      </c>
      <c r="C189" s="2003" t="s">
        <v>818</v>
      </c>
      <c r="D189" s="123"/>
      <c r="E189" s="131"/>
      <c r="F189" s="123"/>
      <c r="G189" s="131"/>
      <c r="H189" s="123"/>
      <c r="I189" s="2011"/>
      <c r="J189" s="1418"/>
      <c r="K189" s="1522"/>
      <c r="L189" s="3575">
        <v>17000</v>
      </c>
      <c r="M189" s="3495">
        <v>0</v>
      </c>
      <c r="N189" s="3495">
        <v>0</v>
      </c>
      <c r="O189" s="3580">
        <v>0</v>
      </c>
      <c r="P189" s="2967">
        <v>0</v>
      </c>
      <c r="Q189" s="2033">
        <v>0</v>
      </c>
      <c r="R189" s="2042">
        <v>0</v>
      </c>
      <c r="S189" s="111"/>
      <c r="T189" s="111"/>
      <c r="U189" s="111"/>
      <c r="V189" s="111"/>
    </row>
    <row r="190" spans="1:22" ht="13.5" thickBot="1" x14ac:dyDescent="0.25">
      <c r="A190" s="2505">
        <v>456</v>
      </c>
      <c r="B190" s="2505" t="s">
        <v>120</v>
      </c>
      <c r="C190" s="2003" t="s">
        <v>819</v>
      </c>
      <c r="D190" s="110"/>
      <c r="E190" s="132"/>
      <c r="F190" s="110"/>
      <c r="G190" s="132"/>
      <c r="H190" s="110"/>
      <c r="I190" s="132"/>
      <c r="J190" s="1373">
        <v>16</v>
      </c>
      <c r="K190" s="1373">
        <v>32</v>
      </c>
      <c r="L190" s="3292">
        <v>18</v>
      </c>
      <c r="M190" s="3499">
        <v>20</v>
      </c>
      <c r="N190" s="3499">
        <v>20</v>
      </c>
      <c r="O190" s="3581">
        <v>10</v>
      </c>
      <c r="P190" s="2968">
        <v>0</v>
      </c>
      <c r="Q190" s="2783">
        <v>50</v>
      </c>
      <c r="R190" s="2784">
        <v>50</v>
      </c>
      <c r="S190" s="111"/>
      <c r="T190" s="111"/>
      <c r="U190" s="111"/>
      <c r="V190" s="111"/>
    </row>
    <row r="191" spans="1:22" ht="13.5" thickBot="1" x14ac:dyDescent="0.25">
      <c r="A191" s="2785" t="s">
        <v>158</v>
      </c>
      <c r="B191" s="2786"/>
      <c r="C191" s="2787"/>
      <c r="D191" s="2756">
        <f>SUM(D188,D189,D190)</f>
        <v>0</v>
      </c>
      <c r="E191" s="2788"/>
      <c r="F191" s="2756">
        <f>SUM(F188,F189,F190)</f>
        <v>0</v>
      </c>
      <c r="G191" s="2788"/>
      <c r="H191" s="2756">
        <f>SUM(H188,H189,H190)</f>
        <v>0</v>
      </c>
      <c r="I191" s="2788"/>
      <c r="J191" s="2421">
        <f>SUM(J177:J190)</f>
        <v>29924.02</v>
      </c>
      <c r="K191" s="2421">
        <f>SUM(K188,K189,K190)+K183+K177+K184+K187</f>
        <v>110982</v>
      </c>
      <c r="L191" s="2559">
        <f>SUM(L178:L190)</f>
        <v>166863</v>
      </c>
      <c r="M191" s="2559">
        <f t="shared" ref="M191:R191" si="2">SUM(M177:M190)</f>
        <v>90020</v>
      </c>
      <c r="N191" s="2402">
        <f t="shared" si="2"/>
        <v>95468.41</v>
      </c>
      <c r="O191" s="2403">
        <f t="shared" si="2"/>
        <v>110725</v>
      </c>
      <c r="P191" s="2844">
        <f>SUM(P177:P190)</f>
        <v>101860.8</v>
      </c>
      <c r="Q191" s="2404">
        <f t="shared" si="2"/>
        <v>50</v>
      </c>
      <c r="R191" s="2405">
        <f t="shared" si="2"/>
        <v>50</v>
      </c>
      <c r="S191" s="119"/>
      <c r="T191" s="119"/>
      <c r="U191" s="119"/>
      <c r="V191" s="119"/>
    </row>
    <row r="192" spans="1:22" x14ac:dyDescent="0.2">
      <c r="A192" s="53"/>
      <c r="B192" s="53"/>
      <c r="C192" s="53"/>
      <c r="D192" s="120"/>
      <c r="E192" s="120"/>
      <c r="F192" s="120"/>
      <c r="G192" s="133"/>
      <c r="H192" s="120"/>
      <c r="I192" s="120"/>
      <c r="J192" s="120"/>
      <c r="K192" s="120"/>
      <c r="L192" s="120"/>
      <c r="M192" s="67"/>
      <c r="P192" s="2941"/>
    </row>
    <row r="193" spans="1:22" x14ac:dyDescent="0.2">
      <c r="A193" s="53"/>
      <c r="B193" s="53"/>
      <c r="C193" s="53"/>
      <c r="D193" s="120"/>
      <c r="E193" s="120"/>
      <c r="F193" s="120"/>
      <c r="G193" s="133"/>
      <c r="H193" s="120"/>
      <c r="I193" s="120"/>
      <c r="J193" s="120"/>
      <c r="K193" s="120"/>
      <c r="L193" s="120"/>
      <c r="M193" s="67"/>
      <c r="P193" s="2941"/>
    </row>
    <row r="194" spans="1:22" x14ac:dyDescent="0.2">
      <c r="A194" s="53"/>
      <c r="B194" s="53"/>
      <c r="C194" s="53"/>
      <c r="D194" s="120"/>
      <c r="E194" s="120"/>
      <c r="F194" s="120"/>
      <c r="G194" s="133"/>
      <c r="H194" s="120"/>
      <c r="I194" s="120"/>
      <c r="J194" s="120"/>
      <c r="K194" s="120"/>
      <c r="L194" s="120"/>
      <c r="M194" s="67"/>
      <c r="P194" s="2941"/>
    </row>
    <row r="195" spans="1:22" x14ac:dyDescent="0.2">
      <c r="A195" s="53"/>
      <c r="B195" s="53"/>
      <c r="C195" s="53"/>
      <c r="D195" s="1091" t="s">
        <v>159</v>
      </c>
      <c r="E195" s="1091"/>
      <c r="F195" s="1091"/>
      <c r="G195" s="1091"/>
      <c r="H195" s="1091"/>
      <c r="I195" s="1091"/>
      <c r="J195" s="1092"/>
      <c r="K195" s="1092"/>
      <c r="L195" s="1092"/>
      <c r="M195" s="3700" t="s">
        <v>159</v>
      </c>
      <c r="N195" s="3700"/>
      <c r="O195" s="3700"/>
      <c r="P195" s="3700"/>
      <c r="Q195" s="3700"/>
      <c r="R195" s="3700"/>
      <c r="S195" s="134"/>
      <c r="T195" s="134"/>
      <c r="U195" s="134"/>
      <c r="V195" s="135"/>
    </row>
    <row r="196" spans="1:22" ht="13.5" thickBot="1" x14ac:dyDescent="0.25">
      <c r="A196" s="53"/>
      <c r="B196" s="53"/>
      <c r="C196" s="53"/>
      <c r="D196" s="120"/>
      <c r="E196" s="120"/>
      <c r="F196" s="120"/>
      <c r="G196" s="133"/>
      <c r="H196" s="120"/>
      <c r="I196" s="120"/>
      <c r="J196" s="120"/>
      <c r="K196" s="120"/>
      <c r="L196" s="120"/>
      <c r="M196" s="67"/>
      <c r="P196" s="2941"/>
    </row>
    <row r="197" spans="1:22" ht="23.25" customHeight="1" thickBot="1" x14ac:dyDescent="0.25">
      <c r="A197" s="2126" t="s">
        <v>85</v>
      </c>
      <c r="B197" s="2782"/>
      <c r="C197" s="2657"/>
      <c r="D197" s="2769" t="s">
        <v>148</v>
      </c>
      <c r="E197" s="2770" t="s">
        <v>149</v>
      </c>
      <c r="F197" s="2769" t="s">
        <v>148</v>
      </c>
      <c r="G197" s="2770" t="s">
        <v>149</v>
      </c>
      <c r="H197" s="2769" t="s">
        <v>148</v>
      </c>
      <c r="I197" s="2770" t="s">
        <v>149</v>
      </c>
      <c r="J197" s="3480">
        <v>2018</v>
      </c>
      <c r="K197" s="3481" t="s">
        <v>825</v>
      </c>
      <c r="L197" s="3481" t="s">
        <v>958</v>
      </c>
      <c r="M197" s="3482">
        <v>2021</v>
      </c>
      <c r="N197" s="2792" t="s">
        <v>872</v>
      </c>
      <c r="O197" s="2662" t="s">
        <v>927</v>
      </c>
      <c r="P197" s="2944">
        <v>2022</v>
      </c>
      <c r="Q197" s="2945">
        <v>2023</v>
      </c>
      <c r="R197" s="2946">
        <v>2024</v>
      </c>
      <c r="S197" s="69"/>
      <c r="T197" s="69"/>
      <c r="U197" s="69"/>
      <c r="V197" s="70"/>
    </row>
    <row r="198" spans="1:22" x14ac:dyDescent="0.2">
      <c r="A198" s="1453">
        <v>513</v>
      </c>
      <c r="B198" s="2518" t="s">
        <v>97</v>
      </c>
      <c r="C198" s="2518" t="s">
        <v>86</v>
      </c>
      <c r="D198" s="2789">
        <v>310000</v>
      </c>
      <c r="E198" s="2790">
        <v>240110.47</v>
      </c>
      <c r="F198" s="2789">
        <v>310000</v>
      </c>
      <c r="G198" s="2790">
        <v>240110.47</v>
      </c>
      <c r="H198" s="2789">
        <v>310000</v>
      </c>
      <c r="I198" s="2790">
        <v>240110.47</v>
      </c>
      <c r="J198" s="2515">
        <v>3443706.4</v>
      </c>
      <c r="K198" s="2515">
        <v>6204804</v>
      </c>
      <c r="L198" s="2676">
        <v>2662858</v>
      </c>
      <c r="M198" s="2791">
        <v>0</v>
      </c>
      <c r="N198" s="2676">
        <v>0</v>
      </c>
      <c r="O198" s="3290">
        <v>0</v>
      </c>
      <c r="P198" s="3297">
        <v>0</v>
      </c>
      <c r="Q198" s="3294">
        <v>0</v>
      </c>
      <c r="R198" s="1643">
        <v>0</v>
      </c>
      <c r="S198" s="111"/>
      <c r="T198" s="111"/>
      <c r="U198" s="111"/>
      <c r="V198" s="111"/>
    </row>
    <row r="199" spans="1:22" x14ac:dyDescent="0.2">
      <c r="A199" s="1453">
        <v>514</v>
      </c>
      <c r="B199" s="1453" t="s">
        <v>97</v>
      </c>
      <c r="C199" s="1453" t="s">
        <v>846</v>
      </c>
      <c r="D199" s="1526"/>
      <c r="E199" s="1418">
        <v>0</v>
      </c>
      <c r="F199" s="1526"/>
      <c r="G199" s="1418">
        <v>0</v>
      </c>
      <c r="H199" s="1526"/>
      <c r="I199" s="1418">
        <v>0</v>
      </c>
      <c r="J199" s="1418">
        <v>0</v>
      </c>
      <c r="K199" s="1418">
        <v>0</v>
      </c>
      <c r="L199" s="2015">
        <v>51231</v>
      </c>
      <c r="M199" s="2042">
        <v>0</v>
      </c>
      <c r="N199" s="2015">
        <v>0</v>
      </c>
      <c r="O199" s="3291">
        <v>0</v>
      </c>
      <c r="P199" s="2967">
        <v>0</v>
      </c>
      <c r="Q199" s="3295">
        <v>0</v>
      </c>
      <c r="R199" s="1418">
        <v>0</v>
      </c>
      <c r="S199" s="111"/>
      <c r="T199" s="111"/>
      <c r="U199" s="111"/>
      <c r="V199" s="111"/>
    </row>
    <row r="200" spans="1:22" ht="13.5" thickBot="1" x14ac:dyDescent="0.25">
      <c r="A200" s="2505">
        <v>513</v>
      </c>
      <c r="B200" s="2505" t="s">
        <v>97</v>
      </c>
      <c r="C200" s="2505" t="s">
        <v>879</v>
      </c>
      <c r="D200" s="2123"/>
      <c r="E200" s="2119"/>
      <c r="F200" s="2123"/>
      <c r="G200" s="2119"/>
      <c r="H200" s="2123"/>
      <c r="I200" s="2119"/>
      <c r="J200" s="2119"/>
      <c r="K200" s="2119"/>
      <c r="L200" s="2687"/>
      <c r="M200" s="2784"/>
      <c r="N200" s="2687">
        <v>150000</v>
      </c>
      <c r="O200" s="3292">
        <v>150000</v>
      </c>
      <c r="P200" s="2968">
        <v>0</v>
      </c>
      <c r="Q200" s="3296"/>
      <c r="R200" s="2119"/>
      <c r="S200" s="111"/>
      <c r="T200" s="111"/>
      <c r="U200" s="111"/>
      <c r="V200" s="111"/>
    </row>
    <row r="201" spans="1:22" ht="13.5" thickBot="1" x14ac:dyDescent="0.25">
      <c r="A201" s="2785" t="s">
        <v>160</v>
      </c>
      <c r="B201" s="2786"/>
      <c r="C201" s="2787"/>
      <c r="D201" s="2756">
        <f>SUM(D198,D199)</f>
        <v>310000</v>
      </c>
      <c r="E201" s="2756">
        <f>E198+E199</f>
        <v>240110.47</v>
      </c>
      <c r="F201" s="2756">
        <f>SUM(F198,F199)</f>
        <v>310000</v>
      </c>
      <c r="G201" s="2756">
        <f>G198+G199</f>
        <v>240110.47</v>
      </c>
      <c r="H201" s="2756">
        <f>SUM(H198,H199)</f>
        <v>310000</v>
      </c>
      <c r="I201" s="2756">
        <f>I198+I199</f>
        <v>240110.47</v>
      </c>
      <c r="J201" s="2421">
        <f>SUM(J198:J199)</f>
        <v>3443706.4</v>
      </c>
      <c r="K201" s="2421">
        <f>SUM(K198,K199)</f>
        <v>6204804</v>
      </c>
      <c r="L201" s="2559">
        <f>SUM(L198:L199)</f>
        <v>2714089</v>
      </c>
      <c r="M201" s="2559">
        <f>M198+M199</f>
        <v>0</v>
      </c>
      <c r="N201" s="2560">
        <f>N198+N199+N200</f>
        <v>150000</v>
      </c>
      <c r="O201" s="2561">
        <f>O198+O199+O200</f>
        <v>150000</v>
      </c>
      <c r="P201" s="2844">
        <f>P198+P199+P200</f>
        <v>0</v>
      </c>
      <c r="Q201" s="2423">
        <f>Q198</f>
        <v>0</v>
      </c>
      <c r="R201" s="2405">
        <f>R198+R199</f>
        <v>0</v>
      </c>
      <c r="S201" s="119"/>
      <c r="T201" s="119"/>
      <c r="U201" s="119"/>
      <c r="V201" s="119"/>
    </row>
    <row r="202" spans="1:22" ht="13.5" thickBot="1" x14ac:dyDescent="0.25">
      <c r="A202" s="2793" t="s">
        <v>85</v>
      </c>
      <c r="B202" s="2794"/>
      <c r="C202" s="2795"/>
      <c r="D202" s="2796">
        <f>SUM(D191,D201)</f>
        <v>310000</v>
      </c>
      <c r="E202" s="2796">
        <f>E191+E201</f>
        <v>240110.47</v>
      </c>
      <c r="F202" s="2796">
        <f>SUM(F191,F201)</f>
        <v>310000</v>
      </c>
      <c r="G202" s="2796">
        <f>G191+G201</f>
        <v>240110.47</v>
      </c>
      <c r="H202" s="2796">
        <f>SUM(H191,H201)</f>
        <v>310000</v>
      </c>
      <c r="I202" s="2796">
        <f>I191+I201</f>
        <v>240110.47</v>
      </c>
      <c r="J202" s="2797">
        <f>J191+J201</f>
        <v>3473630.42</v>
      </c>
      <c r="K202" s="2797">
        <f>SUM(K191,K201)</f>
        <v>6315786</v>
      </c>
      <c r="L202" s="2798">
        <f>L191+L201</f>
        <v>2880952</v>
      </c>
      <c r="M202" s="2798">
        <f>M191+M201</f>
        <v>90020</v>
      </c>
      <c r="N202" s="2799">
        <f>SUM(N191,N201)</f>
        <v>245468.41</v>
      </c>
      <c r="O202" s="3293">
        <f>SUM(O191,O201)</f>
        <v>260725</v>
      </c>
      <c r="P202" s="2847">
        <f>SUM(P191,P201)</f>
        <v>101860.8</v>
      </c>
      <c r="Q202" s="2800">
        <f>SUM(Q191,Q201)</f>
        <v>50</v>
      </c>
      <c r="R202" s="2801">
        <f>R201+R191</f>
        <v>50</v>
      </c>
      <c r="S202" s="126"/>
      <c r="T202" s="126"/>
      <c r="U202" s="126"/>
      <c r="V202" s="126"/>
    </row>
    <row r="203" spans="1:22" hidden="1" x14ac:dyDescent="0.2">
      <c r="A203" s="134"/>
      <c r="B203" s="20"/>
      <c r="C203" s="134"/>
      <c r="D203" s="134"/>
      <c r="E203" s="137"/>
      <c r="F203" s="134"/>
      <c r="G203" s="134"/>
      <c r="H203" s="137"/>
      <c r="I203" s="137"/>
      <c r="J203" s="137"/>
      <c r="K203" s="137"/>
      <c r="L203" s="137"/>
      <c r="M203" s="138"/>
      <c r="N203" s="20"/>
      <c r="O203" s="20"/>
      <c r="Q203" s="20"/>
      <c r="R203" s="104"/>
    </row>
    <row r="204" spans="1:22" hidden="1" x14ac:dyDescent="0.2">
      <c r="A204" s="134"/>
      <c r="B204" s="20"/>
      <c r="C204" s="134"/>
      <c r="D204" s="134"/>
      <c r="E204" s="137"/>
      <c r="F204" s="134"/>
      <c r="G204" s="134"/>
      <c r="H204" s="137"/>
      <c r="I204" s="137"/>
      <c r="J204" s="137"/>
      <c r="K204" s="137"/>
      <c r="L204" s="137"/>
      <c r="M204" s="138"/>
      <c r="N204" s="20"/>
      <c r="O204" s="20"/>
      <c r="Q204" s="20"/>
      <c r="R204" s="104"/>
    </row>
    <row r="205" spans="1:22" hidden="1" x14ac:dyDescent="0.2">
      <c r="A205" s="134"/>
      <c r="B205" s="20"/>
      <c r="C205" s="134"/>
      <c r="D205" s="134"/>
      <c r="E205" s="137"/>
      <c r="F205" s="134"/>
      <c r="G205" s="134"/>
      <c r="H205" s="137"/>
      <c r="I205" s="137"/>
      <c r="J205" s="137"/>
      <c r="K205" s="137"/>
      <c r="L205" s="137"/>
      <c r="M205" s="138"/>
      <c r="N205" s="20"/>
      <c r="O205" s="20"/>
      <c r="Q205" s="20"/>
      <c r="R205" s="104"/>
    </row>
    <row r="206" spans="1:22" x14ac:dyDescent="0.2">
      <c r="A206" s="134"/>
      <c r="B206" s="20"/>
      <c r="C206" s="134"/>
      <c r="D206" s="134"/>
      <c r="E206" s="137"/>
      <c r="F206" s="134"/>
      <c r="G206" s="134"/>
      <c r="H206" s="137"/>
      <c r="I206" s="137"/>
      <c r="J206" s="137"/>
      <c r="K206" s="137"/>
      <c r="L206" s="137"/>
      <c r="M206" s="138"/>
      <c r="N206" s="20"/>
      <c r="O206" s="20"/>
      <c r="P206" s="2941"/>
      <c r="Q206" s="20"/>
      <c r="R206" s="104"/>
    </row>
    <row r="207" spans="1:22" x14ac:dyDescent="0.2">
      <c r="A207" s="134"/>
      <c r="B207" s="20"/>
      <c r="C207" s="134"/>
      <c r="D207" s="134"/>
      <c r="E207" s="137"/>
      <c r="F207" s="134"/>
      <c r="G207" s="134"/>
      <c r="H207" s="137"/>
      <c r="I207" s="137"/>
      <c r="J207" s="137"/>
      <c r="K207" s="137"/>
      <c r="L207" s="137"/>
      <c r="M207" s="138"/>
      <c r="N207" s="20"/>
      <c r="O207" s="20"/>
      <c r="P207" s="2941"/>
      <c r="Q207" s="20"/>
      <c r="R207" s="104"/>
    </row>
    <row r="208" spans="1:22" x14ac:dyDescent="0.2">
      <c r="A208" s="134"/>
      <c r="B208" s="20"/>
      <c r="C208" s="134"/>
      <c r="D208" s="134"/>
      <c r="E208" s="137"/>
      <c r="F208" s="134"/>
      <c r="G208" s="134"/>
      <c r="H208" s="137"/>
      <c r="I208" s="137"/>
      <c r="J208" s="137"/>
      <c r="K208" s="137"/>
      <c r="L208" s="137"/>
      <c r="M208" s="138"/>
      <c r="N208" s="20"/>
      <c r="O208" s="20"/>
      <c r="P208" s="2941"/>
      <c r="Q208" s="20"/>
      <c r="R208" s="104"/>
    </row>
    <row r="209" spans="1:23" x14ac:dyDescent="0.2">
      <c r="A209" s="53"/>
      <c r="B209" s="53"/>
      <c r="C209" s="53"/>
      <c r="D209" s="53"/>
      <c r="E209" s="53"/>
      <c r="F209" s="53"/>
      <c r="G209" s="139"/>
      <c r="H209" s="53"/>
      <c r="I209" s="53"/>
      <c r="J209" s="53"/>
      <c r="K209" s="53"/>
      <c r="L209" s="53"/>
      <c r="M209" s="67"/>
      <c r="P209" s="2941"/>
    </row>
    <row r="210" spans="1:23" x14ac:dyDescent="0.2">
      <c r="A210" s="53"/>
      <c r="B210" s="53"/>
      <c r="C210" s="522" t="s">
        <v>161</v>
      </c>
      <c r="D210" s="872"/>
      <c r="E210" s="873"/>
      <c r="F210" s="873"/>
      <c r="G210" s="874"/>
      <c r="H210" s="873"/>
      <c r="I210" s="873"/>
      <c r="J210" s="873"/>
      <c r="K210" s="872"/>
      <c r="L210" s="872"/>
      <c r="M210" s="875"/>
      <c r="N210" s="876"/>
      <c r="O210" s="876"/>
      <c r="P210" s="2941"/>
    </row>
    <row r="211" spans="1:23" ht="13.5" thickBot="1" x14ac:dyDescent="0.25">
      <c r="A211" s="53"/>
      <c r="B211" s="53"/>
      <c r="C211" s="53"/>
      <c r="D211" s="53"/>
      <c r="E211" s="53"/>
      <c r="F211" s="53"/>
      <c r="G211" s="139"/>
      <c r="H211" s="53"/>
      <c r="I211" s="53"/>
      <c r="J211" s="53"/>
      <c r="K211" s="53"/>
      <c r="L211" s="53"/>
      <c r="M211" s="67"/>
      <c r="P211" s="2941"/>
    </row>
    <row r="212" spans="1:23" ht="23.25" customHeight="1" thickBot="1" x14ac:dyDescent="0.25">
      <c r="A212" s="2655"/>
      <c r="B212" s="2802"/>
      <c r="C212" s="2657"/>
      <c r="D212" s="2769" t="s">
        <v>148</v>
      </c>
      <c r="E212" s="2770" t="s">
        <v>149</v>
      </c>
      <c r="F212" s="2769" t="s">
        <v>148</v>
      </c>
      <c r="G212" s="2770" t="s">
        <v>149</v>
      </c>
      <c r="H212" s="2769" t="s">
        <v>148</v>
      </c>
      <c r="I212" s="2770" t="s">
        <v>149</v>
      </c>
      <c r="J212" s="2660">
        <v>2018</v>
      </c>
      <c r="K212" s="3174" t="s">
        <v>825</v>
      </c>
      <c r="L212" s="3175" t="s">
        <v>958</v>
      </c>
      <c r="M212" s="2661">
        <v>2021</v>
      </c>
      <c r="N212" s="2792" t="s">
        <v>872</v>
      </c>
      <c r="O212" s="2662" t="s">
        <v>927</v>
      </c>
      <c r="P212" s="2944">
        <v>2022</v>
      </c>
      <c r="Q212" s="2945">
        <v>2023</v>
      </c>
      <c r="R212" s="2946">
        <v>2024</v>
      </c>
      <c r="S212" s="69"/>
      <c r="T212" s="69"/>
      <c r="U212" s="69"/>
      <c r="V212" s="70"/>
    </row>
    <row r="213" spans="1:23" s="1622" customFormat="1" ht="13.5" thickBot="1" x14ac:dyDescent="0.25">
      <c r="A213" s="3701" t="s">
        <v>162</v>
      </c>
      <c r="B213" s="3702"/>
      <c r="C213" s="3702"/>
      <c r="D213" s="2926"/>
      <c r="E213" s="2927"/>
      <c r="F213" s="2926"/>
      <c r="G213" s="2927"/>
      <c r="H213" s="2926"/>
      <c r="I213" s="2927"/>
      <c r="J213" s="2927">
        <f>SUM(J214:J233)</f>
        <v>538966</v>
      </c>
      <c r="K213" s="2928">
        <f>SUM(K214:K231)</f>
        <v>579222.53</v>
      </c>
      <c r="L213" s="2929">
        <f>SUM(L214:L234)</f>
        <v>701035.64999999991</v>
      </c>
      <c r="M213" s="2930">
        <f>SUM(M214:M234)-M215-M218</f>
        <v>748344</v>
      </c>
      <c r="N213" s="2931">
        <f>SUM(N222:N231:N214)+N232+N233</f>
        <v>747781</v>
      </c>
      <c r="O213" s="2932">
        <f>SUM(O222:O231:O214)+O232+O233+O235</f>
        <v>694384</v>
      </c>
      <c r="P213" s="3621">
        <f>SUM(P214:P235)</f>
        <v>733896</v>
      </c>
      <c r="Q213" s="2930">
        <f>SUM(Q222:Q231:Q214)+Q232+Q233</f>
        <v>750726</v>
      </c>
      <c r="R213" s="2933">
        <f>SUM(R222:R231:R214)+R232+R233</f>
        <v>750726</v>
      </c>
      <c r="S213" s="1454"/>
      <c r="T213" s="1454"/>
      <c r="U213" s="1454"/>
      <c r="V213" s="1454"/>
    </row>
    <row r="214" spans="1:23" s="1622" customFormat="1" x14ac:dyDescent="0.2">
      <c r="A214" s="2808"/>
      <c r="B214" s="2804"/>
      <c r="C214" s="2805" t="s">
        <v>136</v>
      </c>
      <c r="D214" s="2006"/>
      <c r="E214" s="2007"/>
      <c r="F214" s="2006"/>
      <c r="G214" s="2007"/>
      <c r="H214" s="2006"/>
      <c r="I214" s="2007"/>
      <c r="J214" s="1834">
        <v>522284</v>
      </c>
      <c r="K214" s="2806">
        <v>544941</v>
      </c>
      <c r="L214" s="3582">
        <v>611019</v>
      </c>
      <c r="M214" s="3586">
        <v>678183</v>
      </c>
      <c r="N214" s="3584">
        <v>677620</v>
      </c>
      <c r="O214" s="3616">
        <v>608676</v>
      </c>
      <c r="P214" s="2953">
        <v>669543</v>
      </c>
      <c r="Q214" s="2767">
        <v>703020</v>
      </c>
      <c r="R214" s="2807">
        <v>703020</v>
      </c>
      <c r="S214" s="2309" t="s">
        <v>921</v>
      </c>
      <c r="T214" s="1454"/>
      <c r="U214" s="1454"/>
      <c r="V214" s="1454"/>
      <c r="W214" s="2308"/>
    </row>
    <row r="215" spans="1:23" s="1622" customFormat="1" x14ac:dyDescent="0.2">
      <c r="A215" s="1690"/>
      <c r="B215" s="2124"/>
      <c r="C215" s="272" t="s">
        <v>895</v>
      </c>
      <c r="D215" s="1619"/>
      <c r="E215" s="1620"/>
      <c r="F215" s="1619"/>
      <c r="G215" s="1620"/>
      <c r="H215" s="1619"/>
      <c r="I215" s="1620"/>
      <c r="J215" s="1621"/>
      <c r="K215" s="1557">
        <v>6800</v>
      </c>
      <c r="L215" s="3573"/>
      <c r="M215" s="3587"/>
      <c r="N215" s="3585"/>
      <c r="O215" s="3608">
        <v>5000</v>
      </c>
      <c r="P215" s="2954">
        <v>1000</v>
      </c>
      <c r="Q215" s="2028"/>
      <c r="R215" s="2043"/>
      <c r="S215" s="1454" t="s">
        <v>936</v>
      </c>
      <c r="T215" s="1454"/>
      <c r="U215" s="1454"/>
      <c r="V215" s="1454"/>
    </row>
    <row r="216" spans="1:23" s="1622" customFormat="1" x14ac:dyDescent="0.2">
      <c r="A216" s="1690"/>
      <c r="B216" s="2124"/>
      <c r="C216" s="1691" t="s">
        <v>847</v>
      </c>
      <c r="D216" s="1619"/>
      <c r="E216" s="1620"/>
      <c r="F216" s="1619"/>
      <c r="G216" s="1620"/>
      <c r="H216" s="1619"/>
      <c r="I216" s="1620"/>
      <c r="J216" s="1621"/>
      <c r="K216" s="1557">
        <v>6156</v>
      </c>
      <c r="L216" s="3573">
        <v>6156</v>
      </c>
      <c r="M216" s="3587">
        <v>6771</v>
      </c>
      <c r="N216" s="3585">
        <v>6771</v>
      </c>
      <c r="O216" s="3608">
        <v>3658</v>
      </c>
      <c r="P216" s="2954">
        <v>3658</v>
      </c>
      <c r="Q216" s="2028">
        <v>3658</v>
      </c>
      <c r="R216" s="2043">
        <v>3658</v>
      </c>
      <c r="S216" s="1454"/>
      <c r="T216" s="1454"/>
      <c r="U216" s="1454"/>
      <c r="V216" s="1454"/>
    </row>
    <row r="217" spans="1:23" s="1622" customFormat="1" x14ac:dyDescent="0.2">
      <c r="A217" s="1690"/>
      <c r="B217" s="2124"/>
      <c r="C217" s="1691" t="s">
        <v>950</v>
      </c>
      <c r="D217" s="1619"/>
      <c r="E217" s="1620"/>
      <c r="F217" s="1619"/>
      <c r="G217" s="1620"/>
      <c r="H217" s="1619"/>
      <c r="I217" s="1620"/>
      <c r="J217" s="1621"/>
      <c r="K217" s="1557">
        <v>1109</v>
      </c>
      <c r="L217" s="3573">
        <v>3657</v>
      </c>
      <c r="M217" s="3587"/>
      <c r="N217" s="3585"/>
      <c r="O217" s="3608"/>
      <c r="P217" s="2954"/>
      <c r="Q217" s="2028"/>
      <c r="R217" s="2043"/>
      <c r="S217" s="1454"/>
      <c r="T217" s="1454"/>
      <c r="U217" s="1454"/>
      <c r="V217" s="1454"/>
    </row>
    <row r="218" spans="1:23" s="1622" customFormat="1" x14ac:dyDescent="0.2">
      <c r="A218" s="1690"/>
      <c r="B218" s="2124"/>
      <c r="C218" s="1691" t="s">
        <v>920</v>
      </c>
      <c r="D218" s="1619"/>
      <c r="E218" s="1620"/>
      <c r="F218" s="1619"/>
      <c r="G218" s="1620"/>
      <c r="H218" s="1619"/>
      <c r="I218" s="1620"/>
      <c r="J218" s="1621"/>
      <c r="K218" s="1557">
        <v>3737.63</v>
      </c>
      <c r="L218" s="3573"/>
      <c r="M218" s="3587"/>
      <c r="N218" s="3585"/>
      <c r="O218" s="3617">
        <v>8342</v>
      </c>
      <c r="P218" s="2967">
        <v>0</v>
      </c>
      <c r="Q218" s="2028"/>
      <c r="R218" s="2043"/>
      <c r="S218" s="1454"/>
      <c r="T218" s="1454"/>
      <c r="U218" s="1454"/>
      <c r="V218" s="1454"/>
    </row>
    <row r="219" spans="1:23" s="1622" customFormat="1" x14ac:dyDescent="0.2">
      <c r="A219" s="1690"/>
      <c r="B219" s="2124"/>
      <c r="C219" s="1691" t="s">
        <v>896</v>
      </c>
      <c r="D219" s="1619"/>
      <c r="E219" s="1620"/>
      <c r="F219" s="1619"/>
      <c r="G219" s="1620"/>
      <c r="H219" s="1619"/>
      <c r="I219" s="1620"/>
      <c r="J219" s="1621"/>
      <c r="K219" s="1557"/>
      <c r="L219" s="3573"/>
      <c r="M219" s="3587"/>
      <c r="N219" s="3585"/>
      <c r="O219" s="3608">
        <v>800</v>
      </c>
      <c r="P219" s="2954">
        <v>0</v>
      </c>
      <c r="Q219" s="2028"/>
      <c r="R219" s="2043"/>
      <c r="S219" s="1454"/>
      <c r="T219" s="1454"/>
      <c r="U219" s="1454"/>
      <c r="V219" s="1454"/>
    </row>
    <row r="220" spans="1:23" s="1622" customFormat="1" x14ac:dyDescent="0.2">
      <c r="A220" s="1690"/>
      <c r="B220" s="2124"/>
      <c r="C220" s="1691" t="s">
        <v>897</v>
      </c>
      <c r="D220" s="1619"/>
      <c r="E220" s="1620"/>
      <c r="F220" s="1619"/>
      <c r="G220" s="1620"/>
      <c r="H220" s="1619"/>
      <c r="I220" s="1620"/>
      <c r="J220" s="1621"/>
      <c r="K220" s="1557"/>
      <c r="L220" s="3573"/>
      <c r="M220" s="3587"/>
      <c r="N220" s="3585"/>
      <c r="O220" s="3608">
        <v>4600</v>
      </c>
      <c r="P220" s="2954">
        <v>0</v>
      </c>
      <c r="Q220" s="2028"/>
      <c r="R220" s="2043"/>
      <c r="S220" s="1454"/>
      <c r="T220" s="1454"/>
      <c r="U220" s="1454"/>
      <c r="V220" s="1454"/>
    </row>
    <row r="221" spans="1:23" s="1622" customFormat="1" x14ac:dyDescent="0.2">
      <c r="A221" s="1690"/>
      <c r="B221" s="2124"/>
      <c r="C221" s="1691" t="s">
        <v>937</v>
      </c>
      <c r="D221" s="1619"/>
      <c r="E221" s="1620"/>
      <c r="F221" s="1619"/>
      <c r="G221" s="1620"/>
      <c r="H221" s="1619"/>
      <c r="I221" s="1620"/>
      <c r="J221" s="1621"/>
      <c r="K221" s="1557"/>
      <c r="L221" s="3573"/>
      <c r="M221" s="3587"/>
      <c r="N221" s="3585"/>
      <c r="O221" s="3608">
        <v>6630</v>
      </c>
      <c r="P221" s="2954"/>
      <c r="Q221" s="2028"/>
      <c r="R221" s="2043"/>
      <c r="S221" s="1454"/>
      <c r="T221" s="1454"/>
      <c r="U221" s="1454"/>
      <c r="V221" s="1454"/>
    </row>
    <row r="222" spans="1:23" x14ac:dyDescent="0.2">
      <c r="A222" s="1625"/>
      <c r="B222" s="1618"/>
      <c r="C222" s="1617" t="s">
        <v>713</v>
      </c>
      <c r="D222" s="110"/>
      <c r="E222" s="140"/>
      <c r="F222" s="110"/>
      <c r="G222" s="140"/>
      <c r="H222" s="110"/>
      <c r="I222" s="140"/>
      <c r="J222" s="1364"/>
      <c r="K222" s="1835">
        <v>1728.5</v>
      </c>
      <c r="L222" s="3573">
        <v>2037.6</v>
      </c>
      <c r="M222" s="3587">
        <v>2240</v>
      </c>
      <c r="N222" s="3585">
        <v>2240</v>
      </c>
      <c r="O222" s="3608">
        <v>1995</v>
      </c>
      <c r="P222" s="2954">
        <v>2100</v>
      </c>
      <c r="Q222" s="2028">
        <v>2205</v>
      </c>
      <c r="R222" s="2043">
        <v>2205</v>
      </c>
      <c r="S222" s="111"/>
      <c r="T222" s="111"/>
      <c r="U222" s="111"/>
      <c r="V222" s="111"/>
    </row>
    <row r="223" spans="1:23" x14ac:dyDescent="0.2">
      <c r="A223" s="1625"/>
      <c r="B223" s="1618"/>
      <c r="C223" s="1617" t="s">
        <v>719</v>
      </c>
      <c r="D223" s="110"/>
      <c r="E223" s="140"/>
      <c r="F223" s="110"/>
      <c r="G223" s="140"/>
      <c r="H223" s="110"/>
      <c r="I223" s="140"/>
      <c r="J223" s="1364"/>
      <c r="K223" s="1835">
        <v>0</v>
      </c>
      <c r="L223" s="3573">
        <v>0</v>
      </c>
      <c r="M223" s="3587">
        <v>0</v>
      </c>
      <c r="N223" s="3585">
        <v>0</v>
      </c>
      <c r="O223" s="3617">
        <v>0</v>
      </c>
      <c r="P223" s="2967">
        <v>0</v>
      </c>
      <c r="Q223" s="2028">
        <v>0</v>
      </c>
      <c r="R223" s="2043">
        <v>0</v>
      </c>
      <c r="S223" s="111"/>
      <c r="T223" s="111"/>
      <c r="U223" s="111"/>
      <c r="V223" s="111"/>
    </row>
    <row r="224" spans="1:23" x14ac:dyDescent="0.2">
      <c r="A224" s="1625"/>
      <c r="B224" s="1618"/>
      <c r="C224" s="1617" t="s">
        <v>714</v>
      </c>
      <c r="D224" s="110"/>
      <c r="E224" s="140"/>
      <c r="F224" s="110"/>
      <c r="G224" s="140"/>
      <c r="H224" s="110"/>
      <c r="I224" s="140"/>
      <c r="J224" s="1364"/>
      <c r="K224" s="1835">
        <v>2078</v>
      </c>
      <c r="L224" s="3573">
        <v>1233</v>
      </c>
      <c r="M224" s="3587">
        <v>1300</v>
      </c>
      <c r="N224" s="3585">
        <v>1300</v>
      </c>
      <c r="O224" s="3608">
        <v>1408</v>
      </c>
      <c r="P224" s="2954">
        <v>1549</v>
      </c>
      <c r="Q224" s="2028">
        <v>1704</v>
      </c>
      <c r="R224" s="2043">
        <v>1704</v>
      </c>
      <c r="S224" s="111"/>
      <c r="T224" s="111"/>
      <c r="U224" s="111"/>
      <c r="V224" s="111"/>
    </row>
    <row r="225" spans="1:22" x14ac:dyDescent="0.2">
      <c r="A225" s="1625"/>
      <c r="B225" s="1618"/>
      <c r="C225" s="1617" t="s">
        <v>715</v>
      </c>
      <c r="D225" s="110"/>
      <c r="E225" s="140"/>
      <c r="F225" s="110"/>
      <c r="G225" s="140"/>
      <c r="H225" s="110"/>
      <c r="I225" s="140"/>
      <c r="J225" s="1364"/>
      <c r="K225" s="1835">
        <v>5000</v>
      </c>
      <c r="L225" s="3573">
        <v>5000</v>
      </c>
      <c r="M225" s="3587">
        <v>5000</v>
      </c>
      <c r="N225" s="3585">
        <v>5000</v>
      </c>
      <c r="O225" s="3608">
        <v>0</v>
      </c>
      <c r="P225" s="2954">
        <v>2500</v>
      </c>
      <c r="Q225" s="2028">
        <v>3000</v>
      </c>
      <c r="R225" s="2043">
        <v>3000</v>
      </c>
      <c r="S225" s="111"/>
      <c r="T225" s="111"/>
      <c r="U225" s="111"/>
      <c r="V225" s="111"/>
    </row>
    <row r="226" spans="1:22" x14ac:dyDescent="0.2">
      <c r="A226" s="1625"/>
      <c r="B226" s="1618"/>
      <c r="C226" s="1617" t="s">
        <v>716</v>
      </c>
      <c r="D226" s="110"/>
      <c r="E226" s="140"/>
      <c r="F226" s="110"/>
      <c r="G226" s="140"/>
      <c r="H226" s="110"/>
      <c r="I226" s="140"/>
      <c r="J226" s="1364"/>
      <c r="K226" s="1835">
        <v>0</v>
      </c>
      <c r="L226" s="3573">
        <v>26</v>
      </c>
      <c r="M226" s="3587">
        <v>0</v>
      </c>
      <c r="N226" s="3585">
        <v>0</v>
      </c>
      <c r="O226" s="3608">
        <v>2842</v>
      </c>
      <c r="P226" s="2954">
        <v>7072</v>
      </c>
      <c r="Q226" s="2028">
        <v>7072</v>
      </c>
      <c r="R226" s="2043">
        <v>7072</v>
      </c>
      <c r="S226" s="111"/>
      <c r="T226" s="111"/>
      <c r="U226" s="111"/>
      <c r="V226" s="111"/>
    </row>
    <row r="227" spans="1:22" x14ac:dyDescent="0.2">
      <c r="A227" s="1625"/>
      <c r="B227" s="1618"/>
      <c r="C227" s="1617" t="s">
        <v>745</v>
      </c>
      <c r="D227" s="110"/>
      <c r="E227" s="140"/>
      <c r="F227" s="110"/>
      <c r="G227" s="140"/>
      <c r="H227" s="110"/>
      <c r="I227" s="140"/>
      <c r="J227" s="1364"/>
      <c r="K227" s="1835">
        <v>908</v>
      </c>
      <c r="L227" s="3573">
        <v>6936</v>
      </c>
      <c r="M227" s="3587">
        <v>7000</v>
      </c>
      <c r="N227" s="3585">
        <v>7000</v>
      </c>
      <c r="O227" s="3608">
        <v>4621</v>
      </c>
      <c r="P227" s="2954">
        <v>4800</v>
      </c>
      <c r="Q227" s="2028">
        <v>4800</v>
      </c>
      <c r="R227" s="2043">
        <v>4800</v>
      </c>
      <c r="S227" s="111"/>
      <c r="T227" s="111"/>
      <c r="U227" s="111"/>
      <c r="V227" s="111"/>
    </row>
    <row r="228" spans="1:22" x14ac:dyDescent="0.2">
      <c r="A228" s="1625"/>
      <c r="B228" s="1618"/>
      <c r="C228" s="1617" t="s">
        <v>870</v>
      </c>
      <c r="D228" s="110"/>
      <c r="E228" s="140"/>
      <c r="F228" s="110"/>
      <c r="G228" s="140"/>
      <c r="H228" s="110"/>
      <c r="I228" s="140"/>
      <c r="J228" s="1364"/>
      <c r="K228" s="3156">
        <v>0</v>
      </c>
      <c r="L228" s="3583"/>
      <c r="M228" s="3587">
        <v>17280</v>
      </c>
      <c r="N228" s="3585">
        <v>17280</v>
      </c>
      <c r="O228" s="3617">
        <v>17280</v>
      </c>
      <c r="P228" s="2967">
        <v>17280</v>
      </c>
      <c r="Q228" s="2028">
        <v>17280</v>
      </c>
      <c r="R228" s="2043">
        <v>17280</v>
      </c>
      <c r="S228" s="111"/>
      <c r="T228" s="111"/>
      <c r="U228" s="111"/>
      <c r="V228" s="111"/>
    </row>
    <row r="229" spans="1:22" x14ac:dyDescent="0.2">
      <c r="A229" s="1625"/>
      <c r="B229" s="1618"/>
      <c r="C229" s="1617" t="s">
        <v>717</v>
      </c>
      <c r="D229" s="110"/>
      <c r="E229" s="140"/>
      <c r="F229" s="110"/>
      <c r="G229" s="140"/>
      <c r="H229" s="110"/>
      <c r="I229" s="140"/>
      <c r="J229" s="1364"/>
      <c r="K229" s="3156">
        <v>6200</v>
      </c>
      <c r="L229" s="3583">
        <v>4050</v>
      </c>
      <c r="M229" s="3587">
        <v>4455</v>
      </c>
      <c r="N229" s="3585">
        <v>4455</v>
      </c>
      <c r="O229" s="3608">
        <v>2450</v>
      </c>
      <c r="P229" s="2954">
        <v>2600</v>
      </c>
      <c r="Q229" s="2028">
        <v>2680</v>
      </c>
      <c r="R229" s="2043">
        <v>2680</v>
      </c>
      <c r="S229" s="111"/>
      <c r="T229" s="111"/>
      <c r="U229" s="111"/>
      <c r="V229" s="111"/>
    </row>
    <row r="230" spans="1:22" x14ac:dyDescent="0.2">
      <c r="A230" s="1625"/>
      <c r="B230" s="2004"/>
      <c r="C230" s="2005" t="s">
        <v>848</v>
      </c>
      <c r="D230" s="110"/>
      <c r="E230" s="140"/>
      <c r="F230" s="110"/>
      <c r="G230" s="140"/>
      <c r="H230" s="110"/>
      <c r="I230" s="140"/>
      <c r="J230" s="1364"/>
      <c r="K230" s="2134"/>
      <c r="L230" s="3573">
        <v>8838</v>
      </c>
      <c r="M230" s="3587">
        <v>0</v>
      </c>
      <c r="N230" s="3585">
        <v>0</v>
      </c>
      <c r="O230" s="3608">
        <v>3373</v>
      </c>
      <c r="P230" s="2954">
        <v>0</v>
      </c>
      <c r="Q230" s="2028">
        <v>0</v>
      </c>
      <c r="R230" s="2043">
        <v>0</v>
      </c>
      <c r="S230" s="111"/>
      <c r="T230" s="111"/>
      <c r="U230" s="111"/>
      <c r="V230" s="111"/>
    </row>
    <row r="231" spans="1:22" x14ac:dyDescent="0.2">
      <c r="A231" s="1625"/>
      <c r="B231" s="2004"/>
      <c r="C231" s="2005" t="s">
        <v>718</v>
      </c>
      <c r="D231" s="110"/>
      <c r="E231" s="140"/>
      <c r="F231" s="110"/>
      <c r="G231" s="140"/>
      <c r="H231" s="110"/>
      <c r="I231" s="140"/>
      <c r="J231" s="1364">
        <v>664</v>
      </c>
      <c r="K231" s="2134">
        <v>564.4</v>
      </c>
      <c r="L231" s="3573">
        <v>265.60000000000002</v>
      </c>
      <c r="M231" s="3588">
        <v>332</v>
      </c>
      <c r="N231" s="3585">
        <v>332</v>
      </c>
      <c r="O231" s="3608">
        <v>299</v>
      </c>
      <c r="P231" s="2954">
        <v>329</v>
      </c>
      <c r="Q231" s="2028">
        <v>362</v>
      </c>
      <c r="R231" s="2043">
        <v>362</v>
      </c>
      <c r="S231" s="111"/>
      <c r="T231" s="111"/>
      <c r="U231" s="111"/>
      <c r="V231" s="111"/>
    </row>
    <row r="232" spans="1:22" x14ac:dyDescent="0.2">
      <c r="A232" s="1625"/>
      <c r="B232" s="1618"/>
      <c r="C232" s="1618" t="s">
        <v>820</v>
      </c>
      <c r="D232" s="1526"/>
      <c r="E232" s="1418"/>
      <c r="F232" s="1526"/>
      <c r="G232" s="1418"/>
      <c r="H232" s="1526"/>
      <c r="I232" s="1418"/>
      <c r="J232" s="1418">
        <v>11833</v>
      </c>
      <c r="K232" s="3156">
        <v>29583</v>
      </c>
      <c r="L232" s="3157">
        <v>51067</v>
      </c>
      <c r="M232" s="3589">
        <v>24783</v>
      </c>
      <c r="N232" s="3585">
        <v>24783</v>
      </c>
      <c r="O232" s="3617">
        <v>20856</v>
      </c>
      <c r="P232" s="2967">
        <v>20856</v>
      </c>
      <c r="Q232" s="2028">
        <v>4305</v>
      </c>
      <c r="R232" s="2043">
        <v>4305</v>
      </c>
      <c r="S232" s="111"/>
      <c r="T232" s="111"/>
      <c r="U232" s="111"/>
      <c r="V232" s="111"/>
    </row>
    <row r="233" spans="1:22" x14ac:dyDescent="0.2">
      <c r="A233" s="1625"/>
      <c r="B233" s="2004"/>
      <c r="C233" s="2004" t="s">
        <v>951</v>
      </c>
      <c r="D233" s="2123"/>
      <c r="E233" s="2119"/>
      <c r="F233" s="2123"/>
      <c r="G233" s="2119"/>
      <c r="H233" s="2123"/>
      <c r="I233" s="2119"/>
      <c r="J233" s="2119">
        <v>4185</v>
      </c>
      <c r="K233" s="2134">
        <v>838.43</v>
      </c>
      <c r="L233" s="2017">
        <v>750.45</v>
      </c>
      <c r="M233" s="3590">
        <v>1000</v>
      </c>
      <c r="N233" s="2287">
        <v>1000</v>
      </c>
      <c r="O233" s="3617">
        <v>554</v>
      </c>
      <c r="P233" s="2967">
        <v>609</v>
      </c>
      <c r="Q233" s="2032">
        <v>640</v>
      </c>
      <c r="R233" s="2043">
        <v>640</v>
      </c>
      <c r="S233" s="111"/>
      <c r="T233" s="111"/>
      <c r="U233" s="111"/>
      <c r="V233" s="111"/>
    </row>
    <row r="234" spans="1:22" x14ac:dyDescent="0.2">
      <c r="A234" s="1625"/>
      <c r="B234" s="1618"/>
      <c r="C234" s="1618" t="s">
        <v>849</v>
      </c>
      <c r="D234" s="1526"/>
      <c r="E234" s="1418"/>
      <c r="F234" s="1526"/>
      <c r="G234" s="1418"/>
      <c r="H234" s="1526"/>
      <c r="I234" s="1418"/>
      <c r="J234" s="1418"/>
      <c r="K234" s="1835"/>
      <c r="L234" s="2017"/>
      <c r="M234" s="3573"/>
      <c r="N234" s="2017"/>
      <c r="O234" s="3617"/>
      <c r="P234" s="2967"/>
      <c r="Q234" s="2033"/>
      <c r="R234" s="2042"/>
      <c r="S234" s="111"/>
      <c r="T234" s="111"/>
      <c r="U234" s="111"/>
      <c r="V234" s="111"/>
    </row>
    <row r="235" spans="1:22" ht="13.5" thickBot="1" x14ac:dyDescent="0.25">
      <c r="A235" s="1626"/>
      <c r="B235" s="120"/>
      <c r="C235" s="120" t="s">
        <v>933</v>
      </c>
      <c r="D235" s="639"/>
      <c r="E235" s="54"/>
      <c r="F235" s="639"/>
      <c r="G235" s="54"/>
      <c r="H235" s="639"/>
      <c r="I235" s="54"/>
      <c r="J235" s="54"/>
      <c r="K235" s="73"/>
      <c r="L235" s="2287"/>
      <c r="M235" s="2118"/>
      <c r="N235" s="2118"/>
      <c r="O235" s="3618">
        <v>1000</v>
      </c>
      <c r="P235" s="3622">
        <v>0</v>
      </c>
      <c r="Q235" s="2030"/>
      <c r="R235" s="2135"/>
      <c r="S235" s="111"/>
      <c r="T235" s="111"/>
      <c r="U235" s="111"/>
      <c r="V235" s="111"/>
    </row>
    <row r="236" spans="1:22" s="1622" customFormat="1" ht="13.5" thickBot="1" x14ac:dyDescent="0.25">
      <c r="A236" s="3701" t="s">
        <v>163</v>
      </c>
      <c r="B236" s="3702"/>
      <c r="C236" s="3702"/>
      <c r="D236" s="2926"/>
      <c r="E236" s="2927"/>
      <c r="F236" s="2926"/>
      <c r="G236" s="2927"/>
      <c r="H236" s="2926"/>
      <c r="I236" s="2927"/>
      <c r="J236" s="2927">
        <f>SUM(J237:J248)</f>
        <v>140837</v>
      </c>
      <c r="K236" s="2928">
        <f>SUM(K237:K248)</f>
        <v>147418</v>
      </c>
      <c r="L236" s="2929">
        <f>SUM(L237:L248)</f>
        <v>181167.57</v>
      </c>
      <c r="M236" s="2930">
        <f>SUM(M237:M248)-M238-M240+M251+M250</f>
        <v>195117</v>
      </c>
      <c r="N236" s="2931">
        <f>SUM(N241:N248:N237)+N250+N251</f>
        <v>195117</v>
      </c>
      <c r="O236" s="2932">
        <f>SUM(O241:O248:O237)+O250+O251+O249</f>
        <v>211204</v>
      </c>
      <c r="P236" s="3621">
        <f>SUM(P237:P251)</f>
        <v>225359</v>
      </c>
      <c r="Q236" s="2930">
        <f>SUM(Q241:Q248:Q237)+Q251</f>
        <v>240408</v>
      </c>
      <c r="R236" s="2933">
        <f>SUM(R241:R248:R237)+R251</f>
        <v>240408</v>
      </c>
      <c r="S236" s="1454"/>
      <c r="T236" s="1454"/>
      <c r="U236" s="1454"/>
      <c r="V236" s="1454"/>
    </row>
    <row r="237" spans="1:22" s="1622" customFormat="1" x14ac:dyDescent="0.2">
      <c r="A237" s="2803"/>
      <c r="B237" s="2804"/>
      <c r="C237" s="2805" t="s">
        <v>136</v>
      </c>
      <c r="D237" s="2006"/>
      <c r="E237" s="2007"/>
      <c r="F237" s="2006"/>
      <c r="G237" s="2007"/>
      <c r="H237" s="2006"/>
      <c r="I237" s="2007"/>
      <c r="J237" s="1834">
        <v>140259</v>
      </c>
      <c r="K237" s="2806">
        <v>143121</v>
      </c>
      <c r="L237" s="3582">
        <v>171436</v>
      </c>
      <c r="M237" s="3584">
        <v>184079</v>
      </c>
      <c r="N237" s="3584">
        <v>184079</v>
      </c>
      <c r="O237" s="3616">
        <v>193089</v>
      </c>
      <c r="P237" s="2953">
        <v>206605</v>
      </c>
      <c r="Q237" s="2030">
        <v>227765</v>
      </c>
      <c r="R237" s="2807">
        <v>227765</v>
      </c>
      <c r="S237" s="2309" t="s">
        <v>922</v>
      </c>
      <c r="T237" s="1454"/>
      <c r="U237" s="1454"/>
      <c r="V237" s="1454"/>
    </row>
    <row r="238" spans="1:22" s="1622" customFormat="1" x14ac:dyDescent="0.2">
      <c r="A238" s="1692"/>
      <c r="B238" s="2124"/>
      <c r="C238" s="272" t="s">
        <v>895</v>
      </c>
      <c r="D238" s="1619"/>
      <c r="E238" s="1620"/>
      <c r="F238" s="1619"/>
      <c r="G238" s="1620"/>
      <c r="H238" s="1619"/>
      <c r="I238" s="1620"/>
      <c r="J238" s="1621"/>
      <c r="K238" s="1557"/>
      <c r="L238" s="3573">
        <v>1700</v>
      </c>
      <c r="M238" s="3585"/>
      <c r="N238" s="3585"/>
      <c r="O238" s="3608">
        <v>1460</v>
      </c>
      <c r="P238" s="2954">
        <v>1000</v>
      </c>
      <c r="Q238" s="2032"/>
      <c r="R238" s="2043"/>
      <c r="S238" s="1454" t="s">
        <v>938</v>
      </c>
      <c r="T238" s="1454"/>
      <c r="U238" s="1454"/>
      <c r="V238" s="1454"/>
    </row>
    <row r="239" spans="1:22" s="1622" customFormat="1" x14ac:dyDescent="0.2">
      <c r="A239" s="1692"/>
      <c r="B239" s="2124"/>
      <c r="C239" s="3137" t="s">
        <v>937</v>
      </c>
      <c r="D239" s="1619"/>
      <c r="E239" s="1620"/>
      <c r="F239" s="1619"/>
      <c r="G239" s="1620"/>
      <c r="H239" s="1619"/>
      <c r="I239" s="1620"/>
      <c r="J239" s="1621"/>
      <c r="K239" s="1557"/>
      <c r="L239" s="3573"/>
      <c r="M239" s="3585"/>
      <c r="N239" s="3585"/>
      <c r="O239" s="3608">
        <v>1260</v>
      </c>
      <c r="P239" s="2954"/>
      <c r="Q239" s="2032"/>
      <c r="R239" s="2043"/>
      <c r="S239" s="1454"/>
      <c r="T239" s="1454"/>
      <c r="U239" s="1454"/>
      <c r="V239" s="1454"/>
    </row>
    <row r="240" spans="1:22" s="1622" customFormat="1" x14ac:dyDescent="0.2">
      <c r="A240" s="1692"/>
      <c r="B240" s="2124"/>
      <c r="C240" s="1691" t="s">
        <v>920</v>
      </c>
      <c r="D240" s="1619"/>
      <c r="E240" s="1620"/>
      <c r="F240" s="1619"/>
      <c r="G240" s="1620"/>
      <c r="H240" s="1619"/>
      <c r="I240" s="1620"/>
      <c r="J240" s="1621"/>
      <c r="K240" s="1557"/>
      <c r="L240" s="3573">
        <v>1421.37</v>
      </c>
      <c r="M240" s="3585"/>
      <c r="N240" s="3585"/>
      <c r="O240" s="3617">
        <v>3718</v>
      </c>
      <c r="P240" s="2967">
        <v>3718</v>
      </c>
      <c r="Q240" s="2032"/>
      <c r="R240" s="2043"/>
      <c r="S240" s="2309" t="s">
        <v>923</v>
      </c>
      <c r="T240" s="1454"/>
      <c r="U240" s="1454"/>
      <c r="V240" s="1454"/>
    </row>
    <row r="241" spans="1:22" x14ac:dyDescent="0.2">
      <c r="A241" s="1626"/>
      <c r="B241" s="1618"/>
      <c r="C241" s="1617" t="s">
        <v>713</v>
      </c>
      <c r="D241" s="110"/>
      <c r="E241" s="140"/>
      <c r="F241" s="110"/>
      <c r="G241" s="140"/>
      <c r="H241" s="110"/>
      <c r="I241" s="140"/>
      <c r="J241" s="1364">
        <v>312</v>
      </c>
      <c r="K241" s="1835">
        <v>393</v>
      </c>
      <c r="L241" s="3573">
        <v>260</v>
      </c>
      <c r="M241" s="3585">
        <v>490</v>
      </c>
      <c r="N241" s="3585">
        <v>490</v>
      </c>
      <c r="O241" s="3608">
        <v>300</v>
      </c>
      <c r="P241" s="2954">
        <v>320</v>
      </c>
      <c r="Q241" s="2032">
        <v>350</v>
      </c>
      <c r="R241" s="2043">
        <v>350</v>
      </c>
      <c r="S241" s="111"/>
      <c r="T241" s="111"/>
      <c r="U241" s="111"/>
      <c r="V241" s="111"/>
    </row>
    <row r="242" spans="1:22" x14ac:dyDescent="0.2">
      <c r="A242" s="1626"/>
      <c r="B242" s="1618"/>
      <c r="C242" s="1617" t="s">
        <v>719</v>
      </c>
      <c r="D242" s="110"/>
      <c r="E242" s="140"/>
      <c r="F242" s="110"/>
      <c r="G242" s="140"/>
      <c r="H242" s="110"/>
      <c r="I242" s="140"/>
      <c r="J242" s="1364"/>
      <c r="K242" s="1835">
        <v>0</v>
      </c>
      <c r="L242" s="3573"/>
      <c r="M242" s="3585">
        <v>0</v>
      </c>
      <c r="N242" s="3585">
        <v>0</v>
      </c>
      <c r="O242" s="3617">
        <v>4624</v>
      </c>
      <c r="P242" s="2967">
        <v>4947</v>
      </c>
      <c r="Q242" s="2032">
        <v>5442</v>
      </c>
      <c r="R242" s="2043">
        <v>5442</v>
      </c>
      <c r="S242" s="111"/>
      <c r="T242" s="111"/>
      <c r="U242" s="111"/>
      <c r="V242" s="111"/>
    </row>
    <row r="243" spans="1:22" x14ac:dyDescent="0.2">
      <c r="A243" s="1626"/>
      <c r="B243" s="1618"/>
      <c r="C243" s="1617" t="s">
        <v>714</v>
      </c>
      <c r="D243" s="110"/>
      <c r="E243" s="140"/>
      <c r="F243" s="110"/>
      <c r="G243" s="140"/>
      <c r="H243" s="110"/>
      <c r="I243" s="140"/>
      <c r="J243" s="1364"/>
      <c r="K243" s="1835">
        <v>2004</v>
      </c>
      <c r="L243" s="3573">
        <v>1266</v>
      </c>
      <c r="M243" s="3585">
        <v>1600</v>
      </c>
      <c r="N243" s="3585">
        <v>1600</v>
      </c>
      <c r="O243" s="3608">
        <v>1063</v>
      </c>
      <c r="P243" s="2954">
        <v>1137</v>
      </c>
      <c r="Q243" s="2032">
        <v>1250</v>
      </c>
      <c r="R243" s="2043">
        <v>1250</v>
      </c>
      <c r="S243" s="111"/>
      <c r="T243" s="111"/>
      <c r="U243" s="111"/>
      <c r="V243" s="111"/>
    </row>
    <row r="244" spans="1:22" x14ac:dyDescent="0.2">
      <c r="A244" s="1626"/>
      <c r="B244" s="1618"/>
      <c r="C244" s="1617" t="s">
        <v>715</v>
      </c>
      <c r="D244" s="110"/>
      <c r="E244" s="140"/>
      <c r="F244" s="110"/>
      <c r="G244" s="140"/>
      <c r="H244" s="110"/>
      <c r="I244" s="140"/>
      <c r="J244" s="1364"/>
      <c r="K244" s="1835">
        <v>1100</v>
      </c>
      <c r="L244" s="3573">
        <v>2250</v>
      </c>
      <c r="M244" s="3585">
        <v>2700</v>
      </c>
      <c r="N244" s="3585">
        <v>2700</v>
      </c>
      <c r="O244" s="3608">
        <v>0</v>
      </c>
      <c r="P244" s="2954">
        <v>1000</v>
      </c>
      <c r="Q244" s="2032">
        <v>1500</v>
      </c>
      <c r="R244" s="2043">
        <v>1500</v>
      </c>
      <c r="S244" s="111"/>
      <c r="T244" s="111"/>
      <c r="U244" s="111"/>
      <c r="V244" s="111"/>
    </row>
    <row r="245" spans="1:22" x14ac:dyDescent="0.2">
      <c r="A245" s="1626"/>
      <c r="B245" s="1618"/>
      <c r="C245" s="1617" t="s">
        <v>716</v>
      </c>
      <c r="D245" s="110"/>
      <c r="E245" s="140"/>
      <c r="F245" s="110"/>
      <c r="G245" s="140"/>
      <c r="H245" s="110"/>
      <c r="I245" s="140"/>
      <c r="J245" s="1364"/>
      <c r="K245" s="1835">
        <v>0</v>
      </c>
      <c r="L245" s="3573"/>
      <c r="M245" s="3585">
        <v>0</v>
      </c>
      <c r="N245" s="3585">
        <v>0</v>
      </c>
      <c r="O245" s="3608">
        <v>538</v>
      </c>
      <c r="P245" s="2954">
        <v>1540</v>
      </c>
      <c r="Q245" s="2032">
        <v>1694</v>
      </c>
      <c r="R245" s="2043">
        <v>1694</v>
      </c>
      <c r="S245" s="111"/>
      <c r="T245" s="111"/>
      <c r="U245" s="111"/>
      <c r="V245" s="111"/>
    </row>
    <row r="246" spans="1:22" x14ac:dyDescent="0.2">
      <c r="A246" s="1626"/>
      <c r="B246" s="1618"/>
      <c r="C246" s="1617" t="s">
        <v>745</v>
      </c>
      <c r="D246" s="110"/>
      <c r="E246" s="140"/>
      <c r="F246" s="110"/>
      <c r="G246" s="140"/>
      <c r="H246" s="110"/>
      <c r="I246" s="140"/>
      <c r="J246" s="1364"/>
      <c r="K246" s="1835">
        <v>267</v>
      </c>
      <c r="L246" s="3573">
        <v>2268</v>
      </c>
      <c r="M246" s="3585">
        <v>2600</v>
      </c>
      <c r="N246" s="3585">
        <v>2600</v>
      </c>
      <c r="O246" s="3608">
        <v>1352</v>
      </c>
      <c r="P246" s="2954">
        <v>1447</v>
      </c>
      <c r="Q246" s="2032">
        <v>1592</v>
      </c>
      <c r="R246" s="2043">
        <v>1592</v>
      </c>
      <c r="S246" s="111"/>
      <c r="T246" s="111"/>
      <c r="U246" s="111"/>
      <c r="V246" s="111"/>
    </row>
    <row r="247" spans="1:22" x14ac:dyDescent="0.2">
      <c r="A247" s="1626"/>
      <c r="B247" s="1618"/>
      <c r="C247" s="1617" t="s">
        <v>717</v>
      </c>
      <c r="D247" s="110"/>
      <c r="E247" s="140"/>
      <c r="F247" s="110"/>
      <c r="G247" s="140"/>
      <c r="H247" s="110"/>
      <c r="I247" s="140"/>
      <c r="J247" s="1364"/>
      <c r="K247" s="1835">
        <v>450</v>
      </c>
      <c r="L247" s="3573">
        <v>450</v>
      </c>
      <c r="M247" s="3585">
        <v>450</v>
      </c>
      <c r="N247" s="3585">
        <v>450</v>
      </c>
      <c r="O247" s="3617">
        <v>450</v>
      </c>
      <c r="P247" s="2967">
        <v>500</v>
      </c>
      <c r="Q247" s="2032">
        <v>600</v>
      </c>
      <c r="R247" s="2043">
        <v>600</v>
      </c>
      <c r="S247" s="111"/>
      <c r="T247" s="111"/>
      <c r="U247" s="111"/>
      <c r="V247" s="111"/>
    </row>
    <row r="248" spans="1:22" x14ac:dyDescent="0.2">
      <c r="A248" s="1626"/>
      <c r="B248" s="2004"/>
      <c r="C248" s="2005" t="s">
        <v>718</v>
      </c>
      <c r="D248" s="110"/>
      <c r="E248" s="140"/>
      <c r="F248" s="110"/>
      <c r="G248" s="140"/>
      <c r="H248" s="110"/>
      <c r="I248" s="140"/>
      <c r="J248" s="1364">
        <v>266</v>
      </c>
      <c r="K248" s="2134">
        <v>83</v>
      </c>
      <c r="L248" s="3590">
        <v>116.2</v>
      </c>
      <c r="M248" s="3585">
        <v>166</v>
      </c>
      <c r="N248" s="3585">
        <v>166</v>
      </c>
      <c r="O248" s="3608">
        <v>182</v>
      </c>
      <c r="P248" s="2954">
        <v>195</v>
      </c>
      <c r="Q248" s="2032">
        <v>215</v>
      </c>
      <c r="R248" s="2043">
        <v>215</v>
      </c>
      <c r="S248" s="111"/>
      <c r="T248" s="111"/>
      <c r="U248" s="111"/>
      <c r="V248" s="111"/>
    </row>
    <row r="249" spans="1:22" x14ac:dyDescent="0.2">
      <c r="A249" s="120"/>
      <c r="B249" s="2004"/>
      <c r="C249" s="120" t="s">
        <v>924</v>
      </c>
      <c r="D249" s="639"/>
      <c r="E249" s="54"/>
      <c r="F249" s="639"/>
      <c r="G249" s="54"/>
      <c r="H249" s="639"/>
      <c r="I249" s="54"/>
      <c r="J249" s="54"/>
      <c r="K249" s="2134"/>
      <c r="L249" s="3590">
        <v>1500</v>
      </c>
      <c r="M249" s="3585"/>
      <c r="N249" s="3585"/>
      <c r="O249" s="3608">
        <v>2000</v>
      </c>
      <c r="P249" s="2954">
        <v>2400</v>
      </c>
      <c r="Q249" s="2032">
        <v>2600</v>
      </c>
      <c r="R249" s="2043">
        <v>2600</v>
      </c>
      <c r="S249" s="111"/>
      <c r="T249" s="111"/>
      <c r="U249" s="111"/>
      <c r="V249" s="111"/>
    </row>
    <row r="250" spans="1:22" x14ac:dyDescent="0.2">
      <c r="A250" s="1618"/>
      <c r="B250" s="1618"/>
      <c r="C250" s="1618" t="s">
        <v>848</v>
      </c>
      <c r="D250" s="1526"/>
      <c r="E250" s="1418"/>
      <c r="F250" s="1526"/>
      <c r="G250" s="1418"/>
      <c r="H250" s="1526"/>
      <c r="I250" s="1418"/>
      <c r="J250" s="1418"/>
      <c r="K250" s="1433"/>
      <c r="L250" s="3573"/>
      <c r="M250" s="3585">
        <v>2945</v>
      </c>
      <c r="N250" s="3585">
        <v>2945</v>
      </c>
      <c r="O250" s="3608">
        <v>1168</v>
      </c>
      <c r="P250" s="2954">
        <v>550</v>
      </c>
      <c r="Q250" s="2032"/>
      <c r="R250" s="2043"/>
      <c r="S250" s="111"/>
      <c r="T250" s="111"/>
      <c r="U250" s="111"/>
      <c r="V250" s="111"/>
    </row>
    <row r="251" spans="1:22" ht="13.5" thickBot="1" x14ac:dyDescent="0.25">
      <c r="A251" s="2004"/>
      <c r="B251" s="2004"/>
      <c r="C251" s="2004" t="s">
        <v>934</v>
      </c>
      <c r="D251" s="2123"/>
      <c r="E251" s="2119"/>
      <c r="F251" s="2123"/>
      <c r="G251" s="2119"/>
      <c r="H251" s="2123"/>
      <c r="I251" s="2119"/>
      <c r="J251" s="2119"/>
      <c r="K251" s="2562"/>
      <c r="L251" s="3590">
        <v>79.19</v>
      </c>
      <c r="M251" s="3591">
        <v>87</v>
      </c>
      <c r="N251" s="3591">
        <v>87</v>
      </c>
      <c r="O251" s="3619">
        <v>0</v>
      </c>
      <c r="P251" s="3622">
        <v>0</v>
      </c>
      <c r="Q251" s="2013"/>
      <c r="R251" s="3479"/>
      <c r="S251" s="111"/>
      <c r="T251" s="111"/>
      <c r="U251" s="111"/>
      <c r="V251" s="111"/>
    </row>
    <row r="252" spans="1:22" ht="13.5" thickBot="1" x14ac:dyDescent="0.25">
      <c r="A252" s="3701" t="s">
        <v>164</v>
      </c>
      <c r="B252" s="3702"/>
      <c r="C252" s="3702"/>
      <c r="D252" s="2926"/>
      <c r="E252" s="2927"/>
      <c r="F252" s="2926"/>
      <c r="G252" s="2927"/>
      <c r="H252" s="2926"/>
      <c r="I252" s="2927"/>
      <c r="J252" s="2927">
        <f>SUM(J253:J259)</f>
        <v>16206</v>
      </c>
      <c r="K252" s="2928">
        <f>SUM(K253:K267)</f>
        <v>26863.559999999994</v>
      </c>
      <c r="L252" s="2929">
        <f>SUM(L253:L267)</f>
        <v>47848.49</v>
      </c>
      <c r="M252" s="2930">
        <f>SUM(M253:M267)</f>
        <v>24500</v>
      </c>
      <c r="N252" s="2931">
        <f>SUM(N253:N259)+N262</f>
        <v>42500</v>
      </c>
      <c r="O252" s="2932">
        <f>SUM(O253:O266)+O267</f>
        <v>60849</v>
      </c>
      <c r="P252" s="3621">
        <f>SUM(P253:P267)</f>
        <v>63400</v>
      </c>
      <c r="Q252" s="2930">
        <f>SUM(Q253:Q259)</f>
        <v>37800</v>
      </c>
      <c r="R252" s="2933">
        <f>SUM(R253:R259)</f>
        <v>37800</v>
      </c>
      <c r="S252" s="111"/>
      <c r="T252" s="111"/>
      <c r="U252" s="111"/>
      <c r="V252" s="111"/>
    </row>
    <row r="253" spans="1:22" x14ac:dyDescent="0.2">
      <c r="A253" s="2809"/>
      <c r="B253" s="2810"/>
      <c r="C253" s="2810" t="s">
        <v>720</v>
      </c>
      <c r="D253" s="2789"/>
      <c r="E253" s="2515"/>
      <c r="F253" s="2789"/>
      <c r="G253" s="2515"/>
      <c r="H253" s="2789"/>
      <c r="I253" s="2515"/>
      <c r="J253" s="2515"/>
      <c r="K253" s="2811">
        <v>2075.3000000000002</v>
      </c>
      <c r="L253" s="3582">
        <v>1476</v>
      </c>
      <c r="M253" s="3594">
        <v>3000</v>
      </c>
      <c r="N253" s="3592">
        <v>3000</v>
      </c>
      <c r="O253" s="3620">
        <v>1181</v>
      </c>
      <c r="P253" s="2953">
        <v>2000</v>
      </c>
      <c r="Q253" s="2122">
        <v>2500</v>
      </c>
      <c r="R253" s="2812">
        <v>2500</v>
      </c>
      <c r="S253" s="111"/>
      <c r="T253" s="111"/>
      <c r="U253" s="111"/>
      <c r="V253" s="111"/>
    </row>
    <row r="254" spans="1:22" x14ac:dyDescent="0.2">
      <c r="A254" s="1627"/>
      <c r="B254" s="1618"/>
      <c r="C254" s="1618" t="s">
        <v>722</v>
      </c>
      <c r="D254" s="1526"/>
      <c r="E254" s="1418"/>
      <c r="F254" s="1526"/>
      <c r="G254" s="1418"/>
      <c r="H254" s="1526"/>
      <c r="I254" s="1418"/>
      <c r="J254" s="1418">
        <v>12301</v>
      </c>
      <c r="K254" s="1522">
        <v>13041</v>
      </c>
      <c r="L254" s="3573">
        <v>4970.74</v>
      </c>
      <c r="M254" s="2017">
        <v>10000</v>
      </c>
      <c r="N254" s="3593">
        <v>10000</v>
      </c>
      <c r="O254" s="3614">
        <v>5327</v>
      </c>
      <c r="P254" s="2967">
        <v>17000</v>
      </c>
      <c r="Q254" s="2033">
        <v>19000</v>
      </c>
      <c r="R254" s="2044">
        <v>19000</v>
      </c>
      <c r="S254" s="111"/>
      <c r="T254" s="111"/>
      <c r="U254" s="111"/>
      <c r="V254" s="111"/>
    </row>
    <row r="255" spans="1:22" x14ac:dyDescent="0.2">
      <c r="A255" s="1627"/>
      <c r="B255" s="1618"/>
      <c r="C255" s="1618" t="s">
        <v>821</v>
      </c>
      <c r="D255" s="1526"/>
      <c r="E255" s="1418"/>
      <c r="F255" s="1526"/>
      <c r="G255" s="1418"/>
      <c r="H255" s="1526"/>
      <c r="I255" s="1418"/>
      <c r="J255" s="1418"/>
      <c r="K255" s="1522">
        <v>4832.3999999999996</v>
      </c>
      <c r="L255" s="3573">
        <v>5215.2</v>
      </c>
      <c r="M255" s="2017">
        <v>5000</v>
      </c>
      <c r="N255" s="3593">
        <v>5000</v>
      </c>
      <c r="O255" s="3603">
        <v>6110</v>
      </c>
      <c r="P255" s="2954">
        <v>6200</v>
      </c>
      <c r="Q255" s="2033">
        <v>6000</v>
      </c>
      <c r="R255" s="2044">
        <v>6000</v>
      </c>
      <c r="S255" s="111"/>
      <c r="T255" s="111"/>
      <c r="U255" s="111"/>
      <c r="V255" s="111"/>
    </row>
    <row r="256" spans="1:22" x14ac:dyDescent="0.2">
      <c r="A256" s="1627"/>
      <c r="B256" s="1618"/>
      <c r="C256" s="1618" t="s">
        <v>723</v>
      </c>
      <c r="D256" s="1526"/>
      <c r="E256" s="1418"/>
      <c r="F256" s="1526"/>
      <c r="G256" s="1418"/>
      <c r="H256" s="1526"/>
      <c r="I256" s="1418"/>
      <c r="J256" s="1418"/>
      <c r="K256" s="1522"/>
      <c r="L256" s="3573">
        <v>0</v>
      </c>
      <c r="M256" s="2017">
        <v>2500</v>
      </c>
      <c r="N256" s="3593">
        <v>2500</v>
      </c>
      <c r="O256" s="3614">
        <v>3100</v>
      </c>
      <c r="P256" s="2967">
        <v>3100</v>
      </c>
      <c r="Q256" s="2033">
        <v>3500</v>
      </c>
      <c r="R256" s="2044">
        <v>3500</v>
      </c>
      <c r="S256" s="111"/>
      <c r="T256" s="111"/>
      <c r="U256" s="111"/>
      <c r="V256" s="111"/>
    </row>
    <row r="257" spans="1:22" x14ac:dyDescent="0.2">
      <c r="A257" s="1627"/>
      <c r="B257" s="1618"/>
      <c r="C257" s="272" t="s">
        <v>894</v>
      </c>
      <c r="D257" s="1526"/>
      <c r="E257" s="1418"/>
      <c r="F257" s="1526"/>
      <c r="G257" s="1418"/>
      <c r="H257" s="1526"/>
      <c r="I257" s="1418"/>
      <c r="J257" s="1418"/>
      <c r="K257" s="1522"/>
      <c r="L257" s="3573"/>
      <c r="M257" s="2017"/>
      <c r="N257" s="3593"/>
      <c r="O257" s="3603">
        <v>5227</v>
      </c>
      <c r="P257" s="2954">
        <v>0</v>
      </c>
      <c r="Q257" s="2033"/>
      <c r="R257" s="2044"/>
      <c r="S257" s="111"/>
      <c r="T257" s="111"/>
      <c r="U257" s="111"/>
      <c r="V257" s="111"/>
    </row>
    <row r="258" spans="1:22" x14ac:dyDescent="0.2">
      <c r="A258" s="1627"/>
      <c r="B258" s="1618"/>
      <c r="C258" s="1617" t="s">
        <v>724</v>
      </c>
      <c r="D258" s="1526"/>
      <c r="E258" s="1418"/>
      <c r="F258" s="1526"/>
      <c r="G258" s="1418"/>
      <c r="H258" s="1526"/>
      <c r="I258" s="1418"/>
      <c r="J258" s="1418">
        <v>3805</v>
      </c>
      <c r="K258" s="1522">
        <v>4023</v>
      </c>
      <c r="L258" s="3573">
        <v>4644</v>
      </c>
      <c r="M258" s="2017">
        <v>3900</v>
      </c>
      <c r="N258" s="3593">
        <v>3900</v>
      </c>
      <c r="O258" s="3603">
        <v>7887</v>
      </c>
      <c r="P258" s="2954">
        <v>6000</v>
      </c>
      <c r="Q258" s="2033">
        <v>6500</v>
      </c>
      <c r="R258" s="2044">
        <v>6500</v>
      </c>
      <c r="S258" s="111"/>
      <c r="T258" s="111"/>
      <c r="U258" s="111"/>
      <c r="V258" s="111"/>
    </row>
    <row r="259" spans="1:22" x14ac:dyDescent="0.2">
      <c r="A259" s="2121"/>
      <c r="B259" s="2004"/>
      <c r="C259" s="2005" t="s">
        <v>721</v>
      </c>
      <c r="D259" s="1526"/>
      <c r="E259" s="1418"/>
      <c r="F259" s="1526"/>
      <c r="G259" s="1418"/>
      <c r="H259" s="1526"/>
      <c r="I259" s="1418"/>
      <c r="J259" s="1418">
        <v>100</v>
      </c>
      <c r="K259" s="1522">
        <v>49.8</v>
      </c>
      <c r="L259" s="3573">
        <v>100</v>
      </c>
      <c r="M259" s="2017">
        <v>100</v>
      </c>
      <c r="N259" s="3593">
        <v>100</v>
      </c>
      <c r="O259" s="3603">
        <v>0</v>
      </c>
      <c r="P259" s="2954">
        <v>300</v>
      </c>
      <c r="Q259" s="2033">
        <v>300</v>
      </c>
      <c r="R259" s="2044">
        <v>300</v>
      </c>
      <c r="S259" s="111"/>
      <c r="T259" s="111"/>
      <c r="U259" s="111"/>
      <c r="V259" s="111"/>
    </row>
    <row r="260" spans="1:22" x14ac:dyDescent="0.2">
      <c r="A260" s="1618"/>
      <c r="B260" s="1618"/>
      <c r="C260" s="1618" t="s">
        <v>850</v>
      </c>
      <c r="D260" s="639"/>
      <c r="E260" s="54"/>
      <c r="F260" s="639"/>
      <c r="G260" s="54"/>
      <c r="H260" s="639"/>
      <c r="I260" s="54"/>
      <c r="J260" s="2119"/>
      <c r="K260" s="2133">
        <v>2502.46</v>
      </c>
      <c r="L260" s="3573">
        <v>1843.66</v>
      </c>
      <c r="M260" s="2017"/>
      <c r="N260" s="3593"/>
      <c r="O260" s="3614">
        <v>3000</v>
      </c>
      <c r="P260" s="2967">
        <v>0</v>
      </c>
      <c r="Q260" s="2033"/>
      <c r="R260" s="2120"/>
      <c r="S260" s="111"/>
      <c r="T260" s="111"/>
      <c r="U260" s="111"/>
      <c r="V260" s="111"/>
    </row>
    <row r="261" spans="1:22" x14ac:dyDescent="0.2">
      <c r="A261" s="1618"/>
      <c r="B261" s="1618"/>
      <c r="C261" s="1618" t="s">
        <v>851</v>
      </c>
      <c r="D261" s="639"/>
      <c r="E261" s="54"/>
      <c r="F261" s="639"/>
      <c r="G261" s="54"/>
      <c r="H261" s="639"/>
      <c r="I261" s="54"/>
      <c r="J261" s="2119"/>
      <c r="K261" s="2133"/>
      <c r="L261" s="3573"/>
      <c r="M261" s="2017"/>
      <c r="N261" s="3593"/>
      <c r="O261" s="3614"/>
      <c r="P261" s="2967"/>
      <c r="Q261" s="2033"/>
      <c r="R261" s="2120"/>
      <c r="S261" s="111"/>
      <c r="T261" s="111"/>
      <c r="U261" s="111"/>
      <c r="V261" s="111"/>
    </row>
    <row r="262" spans="1:22" x14ac:dyDescent="0.2">
      <c r="A262" s="1618"/>
      <c r="B262" s="1618"/>
      <c r="C262" s="1618" t="s">
        <v>932</v>
      </c>
      <c r="D262" s="639"/>
      <c r="E262" s="54"/>
      <c r="F262" s="639"/>
      <c r="G262" s="54"/>
      <c r="H262" s="639"/>
      <c r="I262" s="54"/>
      <c r="J262" s="2119"/>
      <c r="K262" s="2133"/>
      <c r="L262" s="3573">
        <v>2264.5500000000002</v>
      </c>
      <c r="M262" s="2017"/>
      <c r="N262" s="3593">
        <v>18000</v>
      </c>
      <c r="O262" s="3614">
        <v>26598</v>
      </c>
      <c r="P262" s="2967">
        <v>28800</v>
      </c>
      <c r="Q262" s="2033">
        <v>19200</v>
      </c>
      <c r="R262" s="2120"/>
      <c r="S262" s="111"/>
      <c r="T262" s="111"/>
      <c r="U262" s="111"/>
      <c r="V262" s="111"/>
    </row>
    <row r="263" spans="1:22" x14ac:dyDescent="0.2">
      <c r="A263" s="1618"/>
      <c r="B263" s="1618"/>
      <c r="C263" s="1618" t="s">
        <v>912</v>
      </c>
      <c r="D263" s="639"/>
      <c r="E263" s="54"/>
      <c r="F263" s="639"/>
      <c r="G263" s="54"/>
      <c r="H263" s="639"/>
      <c r="I263" s="54"/>
      <c r="J263" s="2119"/>
      <c r="K263" s="2133">
        <v>339.6</v>
      </c>
      <c r="L263" s="3573"/>
      <c r="M263" s="2017"/>
      <c r="N263" s="3593"/>
      <c r="O263" s="3614">
        <v>430</v>
      </c>
      <c r="P263" s="2967">
        <v>0</v>
      </c>
      <c r="Q263" s="2033"/>
      <c r="R263" s="2120"/>
      <c r="S263" s="111"/>
      <c r="T263" s="111"/>
      <c r="U263" s="111"/>
      <c r="V263" s="111"/>
    </row>
    <row r="264" spans="1:22" x14ac:dyDescent="0.2">
      <c r="A264" s="1618"/>
      <c r="B264" s="1618"/>
      <c r="C264" s="1618" t="s">
        <v>913</v>
      </c>
      <c r="D264" s="639"/>
      <c r="E264" s="54"/>
      <c r="F264" s="639"/>
      <c r="G264" s="54"/>
      <c r="H264" s="639"/>
      <c r="I264" s="54"/>
      <c r="J264" s="2119"/>
      <c r="K264" s="2133"/>
      <c r="L264" s="3573">
        <v>100</v>
      </c>
      <c r="M264" s="2017"/>
      <c r="N264" s="3593"/>
      <c r="O264" s="3614">
        <v>100</v>
      </c>
      <c r="P264" s="2967">
        <v>0</v>
      </c>
      <c r="Q264" s="2033"/>
      <c r="R264" s="2120"/>
      <c r="S264" s="111"/>
      <c r="T264" s="111"/>
      <c r="U264" s="111"/>
      <c r="V264" s="111"/>
    </row>
    <row r="265" spans="1:22" x14ac:dyDescent="0.2">
      <c r="A265" s="1618"/>
      <c r="B265" s="1618"/>
      <c r="C265" s="1618" t="s">
        <v>915</v>
      </c>
      <c r="D265" s="639"/>
      <c r="E265" s="54"/>
      <c r="F265" s="639"/>
      <c r="G265" s="54"/>
      <c r="H265" s="639"/>
      <c r="I265" s="54"/>
      <c r="J265" s="2119"/>
      <c r="K265" s="2133"/>
      <c r="L265" s="3573"/>
      <c r="M265" s="2017"/>
      <c r="N265" s="3593"/>
      <c r="O265" s="3614">
        <v>714</v>
      </c>
      <c r="P265" s="2967">
        <v>0</v>
      </c>
      <c r="Q265" s="2033"/>
      <c r="R265" s="2120"/>
      <c r="S265" s="111"/>
      <c r="T265" s="111"/>
      <c r="U265" s="111"/>
      <c r="V265" s="111"/>
    </row>
    <row r="266" spans="1:22" x14ac:dyDescent="0.2">
      <c r="A266" s="1618"/>
      <c r="B266" s="1618"/>
      <c r="C266" s="1618" t="s">
        <v>849</v>
      </c>
      <c r="D266" s="639"/>
      <c r="E266" s="54"/>
      <c r="F266" s="639"/>
      <c r="G266" s="54"/>
      <c r="H266" s="639"/>
      <c r="I266" s="54"/>
      <c r="J266" s="2119"/>
      <c r="K266" s="2133"/>
      <c r="L266" s="3573"/>
      <c r="M266" s="2017"/>
      <c r="N266" s="3593"/>
      <c r="O266" s="3614"/>
      <c r="P266" s="2967"/>
      <c r="Q266" s="2033"/>
      <c r="R266" s="2120"/>
      <c r="S266" s="111"/>
      <c r="T266" s="111"/>
      <c r="U266" s="111"/>
      <c r="V266" s="111"/>
    </row>
    <row r="267" spans="1:22" ht="13.5" thickBot="1" x14ac:dyDescent="0.25">
      <c r="A267" s="1618"/>
      <c r="B267" s="1618"/>
      <c r="C267" s="1618" t="s">
        <v>898</v>
      </c>
      <c r="D267" s="639"/>
      <c r="E267" s="54"/>
      <c r="F267" s="639"/>
      <c r="G267" s="54"/>
      <c r="H267" s="639"/>
      <c r="I267" s="54"/>
      <c r="J267" s="2119"/>
      <c r="K267" s="2133"/>
      <c r="L267" s="3573">
        <v>27234.34</v>
      </c>
      <c r="M267" s="2766"/>
      <c r="N267" s="3592"/>
      <c r="O267" s="3604">
        <v>1175</v>
      </c>
      <c r="P267" s="2957">
        <v>0</v>
      </c>
      <c r="Q267" s="2122"/>
      <c r="R267" s="2120"/>
      <c r="S267" s="111"/>
      <c r="T267" s="111"/>
      <c r="U267" s="111"/>
      <c r="V267" s="111"/>
    </row>
    <row r="268" spans="1:22" ht="13.5" thickBot="1" x14ac:dyDescent="0.25">
      <c r="A268" s="1628" t="s">
        <v>161</v>
      </c>
      <c r="B268" s="1629"/>
      <c r="C268" s="1630"/>
      <c r="D268" s="1631">
        <f>SUM(D213,D236,D252)</f>
        <v>0</v>
      </c>
      <c r="E268" s="1632"/>
      <c r="F268" s="1631">
        <f>SUM(F213,F236,F252)</f>
        <v>0</v>
      </c>
      <c r="G268" s="1632"/>
      <c r="H268" s="1631">
        <f>SUM(H213,H236,H252)</f>
        <v>0</v>
      </c>
      <c r="I268" s="1633"/>
      <c r="J268" s="1822">
        <f>J213+J236+J252</f>
        <v>696009</v>
      </c>
      <c r="K268" s="1822">
        <f>SUM(K213,K236,K252)</f>
        <v>753504.09</v>
      </c>
      <c r="L268" s="1822">
        <f>L213+L236+L252</f>
        <v>930051.71</v>
      </c>
      <c r="M268" s="1836">
        <f>SUM(M213,M236,M252)</f>
        <v>967961</v>
      </c>
      <c r="N268" s="1623">
        <f>N213+N236+N252</f>
        <v>985398</v>
      </c>
      <c r="O268" s="1623">
        <f>O213+O236+O252</f>
        <v>966437</v>
      </c>
      <c r="P268" s="2847">
        <f>P213+P236+P252</f>
        <v>1022655</v>
      </c>
      <c r="Q268" s="1634">
        <f>Q213+Q236+Q252</f>
        <v>1028934</v>
      </c>
      <c r="R268" s="1821">
        <f>R213+R236+R252</f>
        <v>1028934</v>
      </c>
      <c r="S268" s="126"/>
      <c r="T268" s="126"/>
      <c r="U268" s="126"/>
      <c r="V268" s="126"/>
    </row>
    <row r="269" spans="1:22" x14ac:dyDescent="0.2">
      <c r="A269" s="134"/>
      <c r="B269" s="20"/>
      <c r="C269" s="134"/>
      <c r="D269" s="126"/>
      <c r="E269" s="74"/>
      <c r="F269" s="126"/>
      <c r="G269" s="74"/>
      <c r="H269" s="126"/>
      <c r="I269" s="74"/>
      <c r="J269" s="74"/>
      <c r="K269" s="126"/>
      <c r="L269" s="126"/>
      <c r="M269" s="126"/>
      <c r="N269" s="126"/>
      <c r="O269" s="126"/>
      <c r="P269" s="2941"/>
      <c r="Q269" s="39"/>
      <c r="R269" s="111"/>
      <c r="S269" s="126"/>
      <c r="T269" s="126"/>
      <c r="U269" s="126"/>
      <c r="V269" s="126"/>
    </row>
    <row r="270" spans="1:22" x14ac:dyDescent="0.2">
      <c r="A270" s="134"/>
      <c r="B270" s="20"/>
      <c r="C270" s="134"/>
      <c r="D270" s="126"/>
      <c r="E270" s="74"/>
      <c r="F270" s="126"/>
      <c r="G270" s="74"/>
      <c r="H270" s="126"/>
      <c r="I270" s="74"/>
      <c r="J270" s="74"/>
      <c r="K270" s="126"/>
      <c r="L270" s="126"/>
      <c r="M270" s="126"/>
      <c r="N270" s="126"/>
      <c r="O270" s="126"/>
      <c r="P270" s="2941"/>
      <c r="Q270" s="39"/>
      <c r="R270" s="111"/>
      <c r="S270" s="126"/>
      <c r="T270" s="126"/>
      <c r="U270" s="126"/>
      <c r="V270" s="126"/>
    </row>
    <row r="271" spans="1:22" x14ac:dyDescent="0.2">
      <c r="A271" s="134"/>
      <c r="B271" s="20"/>
      <c r="C271" s="134"/>
      <c r="D271" s="126"/>
      <c r="E271" s="74"/>
      <c r="F271" s="126"/>
      <c r="G271" s="74"/>
      <c r="H271" s="126"/>
      <c r="I271" s="74"/>
      <c r="J271" s="74"/>
      <c r="K271" s="126"/>
      <c r="L271" s="126"/>
      <c r="M271" s="126"/>
      <c r="N271" s="126"/>
      <c r="O271" s="126"/>
      <c r="P271" s="2941"/>
      <c r="Q271" s="39"/>
      <c r="R271" s="111"/>
      <c r="S271" s="126"/>
      <c r="T271" s="126"/>
      <c r="U271" s="126"/>
      <c r="V271" s="126"/>
    </row>
    <row r="272" spans="1:22" x14ac:dyDescent="0.2">
      <c r="A272" s="134"/>
      <c r="B272" s="20"/>
      <c r="C272" s="134"/>
      <c r="D272" s="126"/>
      <c r="E272" s="74"/>
      <c r="F272" s="126"/>
      <c r="G272" s="74"/>
      <c r="H272" s="126"/>
      <c r="I272" s="74"/>
      <c r="J272" s="74"/>
      <c r="K272" s="126"/>
      <c r="L272" s="126"/>
      <c r="M272" s="126"/>
      <c r="N272" s="126"/>
      <c r="O272" s="126"/>
      <c r="P272" s="2941"/>
      <c r="Q272" s="39"/>
      <c r="R272" s="111"/>
      <c r="S272" s="126"/>
      <c r="T272" s="126"/>
      <c r="U272" s="126"/>
      <c r="V272" s="126"/>
    </row>
    <row r="273" spans="1:23" ht="13.5" thickBot="1" x14ac:dyDescent="0.25">
      <c r="A273" s="53"/>
      <c r="B273" s="53"/>
      <c r="C273" s="53"/>
      <c r="D273" s="53"/>
      <c r="E273" s="53"/>
      <c r="F273" s="53"/>
      <c r="G273" s="139"/>
      <c r="H273" s="53"/>
      <c r="I273" s="53"/>
      <c r="J273" s="53"/>
      <c r="K273" s="53"/>
      <c r="L273" s="53"/>
      <c r="M273" s="67"/>
      <c r="P273" s="2941"/>
    </row>
    <row r="274" spans="1:23" hidden="1" x14ac:dyDescent="0.2">
      <c r="A274" s="53"/>
      <c r="B274" s="53"/>
      <c r="C274" s="53"/>
      <c r="D274" s="53"/>
      <c r="E274" s="53"/>
      <c r="F274" s="53"/>
      <c r="G274" s="139"/>
      <c r="H274" s="53"/>
      <c r="I274" s="53"/>
      <c r="J274" s="53"/>
      <c r="K274" s="53"/>
      <c r="L274" s="53"/>
      <c r="M274" s="67"/>
    </row>
    <row r="275" spans="1:23" hidden="1" x14ac:dyDescent="0.2">
      <c r="A275" s="53"/>
      <c r="B275" s="53"/>
      <c r="C275" s="53"/>
      <c r="D275" s="53"/>
      <c r="E275" s="53"/>
      <c r="F275" s="53"/>
      <c r="G275" s="139"/>
      <c r="H275" s="53"/>
      <c r="I275" s="53"/>
      <c r="J275" s="53"/>
      <c r="K275" s="53"/>
      <c r="L275" s="53"/>
      <c r="M275" s="67"/>
    </row>
    <row r="276" spans="1:23" hidden="1" x14ac:dyDescent="0.2">
      <c r="A276" s="53"/>
      <c r="B276" s="53"/>
      <c r="C276" s="53"/>
      <c r="D276" s="53"/>
      <c r="E276" s="53"/>
      <c r="F276" s="53"/>
      <c r="G276" s="139"/>
      <c r="H276" s="53"/>
      <c r="I276" s="53"/>
      <c r="J276" s="53"/>
      <c r="K276" s="53"/>
      <c r="L276" s="53"/>
      <c r="M276" s="67"/>
    </row>
    <row r="277" spans="1:23" hidden="1" x14ac:dyDescent="0.2">
      <c r="A277" s="53"/>
      <c r="B277" s="53"/>
      <c r="C277" s="53"/>
      <c r="D277" s="53"/>
      <c r="E277" s="53"/>
      <c r="F277" s="53"/>
      <c r="G277" s="139"/>
      <c r="H277" s="53"/>
      <c r="I277" s="53"/>
      <c r="J277" s="53"/>
      <c r="K277" s="53"/>
      <c r="L277" s="53"/>
      <c r="M277" s="67"/>
    </row>
    <row r="278" spans="1:23" hidden="1" x14ac:dyDescent="0.2">
      <c r="A278" s="53"/>
      <c r="B278" s="53"/>
      <c r="C278" s="53"/>
      <c r="D278" s="53"/>
      <c r="E278" s="53"/>
      <c r="F278" s="53"/>
      <c r="G278" s="139"/>
      <c r="H278" s="53"/>
      <c r="I278" s="53"/>
      <c r="J278" s="53"/>
      <c r="K278" s="53"/>
      <c r="L278" s="53"/>
      <c r="M278" s="67"/>
    </row>
    <row r="279" spans="1:23" ht="13.5" hidden="1" thickBot="1" x14ac:dyDescent="0.25">
      <c r="A279" s="53"/>
      <c r="B279" s="53"/>
      <c r="C279" s="53"/>
      <c r="D279" s="53"/>
      <c r="E279" s="53"/>
      <c r="F279" s="53"/>
      <c r="G279" s="139"/>
      <c r="H279" s="53"/>
      <c r="I279" s="53"/>
      <c r="J279" s="53"/>
      <c r="K279" s="53"/>
      <c r="L279" s="53"/>
      <c r="M279" s="67"/>
    </row>
    <row r="280" spans="1:23" ht="26.25" customHeight="1" thickBot="1" x14ac:dyDescent="0.25">
      <c r="A280" s="2655" t="s">
        <v>165</v>
      </c>
      <c r="B280" s="2802"/>
      <c r="C280" s="2657"/>
      <c r="D280" s="2769" t="s">
        <v>148</v>
      </c>
      <c r="E280" s="2770" t="s">
        <v>149</v>
      </c>
      <c r="F280" s="2769" t="s">
        <v>148</v>
      </c>
      <c r="G280" s="2770" t="s">
        <v>149</v>
      </c>
      <c r="H280" s="2769" t="s">
        <v>148</v>
      </c>
      <c r="I280" s="2770" t="s">
        <v>149</v>
      </c>
      <c r="J280" s="2659">
        <v>2018</v>
      </c>
      <c r="K280" s="3286" t="s">
        <v>825</v>
      </c>
      <c r="L280" s="3287" t="s">
        <v>958</v>
      </c>
      <c r="M280" s="2661">
        <v>2021</v>
      </c>
      <c r="N280" s="2662" t="s">
        <v>872</v>
      </c>
      <c r="O280" s="3288" t="s">
        <v>927</v>
      </c>
      <c r="P280" s="2944">
        <v>2022</v>
      </c>
      <c r="Q280" s="2945">
        <v>2023</v>
      </c>
      <c r="R280" s="2946">
        <v>2024</v>
      </c>
      <c r="S280" s="69"/>
      <c r="T280" s="69"/>
      <c r="U280" s="69"/>
      <c r="V280" s="70"/>
    </row>
    <row r="281" spans="1:23" x14ac:dyDescent="0.2">
      <c r="A281" s="2813" t="s">
        <v>1</v>
      </c>
      <c r="B281" s="2814"/>
      <c r="C281" s="2815"/>
      <c r="D281" s="124">
        <f t="shared" ref="D281:P281" si="3">D118</f>
        <v>0</v>
      </c>
      <c r="E281" s="124">
        <f t="shared" si="3"/>
        <v>0</v>
      </c>
      <c r="F281" s="124">
        <f t="shared" si="3"/>
        <v>0</v>
      </c>
      <c r="G281" s="124">
        <f t="shared" si="3"/>
        <v>0</v>
      </c>
      <c r="H281" s="124">
        <f t="shared" si="3"/>
        <v>0</v>
      </c>
      <c r="I281" s="124">
        <f t="shared" si="3"/>
        <v>0</v>
      </c>
      <c r="J281" s="136">
        <f t="shared" si="3"/>
        <v>1379071.67</v>
      </c>
      <c r="K281" s="136">
        <f>K118</f>
        <v>1572065.0699999998</v>
      </c>
      <c r="L281" s="1373">
        <f t="shared" si="3"/>
        <v>1575644</v>
      </c>
      <c r="M281" s="1373">
        <f t="shared" si="3"/>
        <v>1436105</v>
      </c>
      <c r="N281" s="3599">
        <f t="shared" si="3"/>
        <v>1532958</v>
      </c>
      <c r="O281" s="3595">
        <f t="shared" si="3"/>
        <v>1565881</v>
      </c>
      <c r="P281" s="2969">
        <f t="shared" si="3"/>
        <v>1486550</v>
      </c>
      <c r="Q281" s="2728">
        <f>SUM(Q118)</f>
        <v>1605808</v>
      </c>
      <c r="R281" s="1378">
        <f>SUM(R118)</f>
        <v>1675655</v>
      </c>
      <c r="S281" s="111"/>
      <c r="T281" s="111"/>
      <c r="U281" s="111"/>
      <c r="V281" s="111"/>
      <c r="W281" s="143"/>
    </row>
    <row r="282" spans="1:23" x14ac:dyDescent="0.2">
      <c r="A282" s="1093" t="s">
        <v>79</v>
      </c>
      <c r="B282" s="1094"/>
      <c r="C282" s="1095"/>
      <c r="D282" s="110">
        <f t="shared" ref="D282:P282" si="4">D155</f>
        <v>471649.89</v>
      </c>
      <c r="E282" s="110">
        <f t="shared" si="4"/>
        <v>338092.73</v>
      </c>
      <c r="F282" s="110">
        <f t="shared" si="4"/>
        <v>471649.89</v>
      </c>
      <c r="G282" s="110">
        <f t="shared" si="4"/>
        <v>338092.73</v>
      </c>
      <c r="H282" s="110">
        <f t="shared" si="4"/>
        <v>471649.89</v>
      </c>
      <c r="I282" s="110">
        <f t="shared" si="4"/>
        <v>338092.73</v>
      </c>
      <c r="J282" s="1476">
        <f t="shared" si="4"/>
        <v>2604287.5699999998</v>
      </c>
      <c r="K282" s="1476">
        <f t="shared" si="4"/>
        <v>5822473</v>
      </c>
      <c r="L282" s="1478">
        <f t="shared" si="4"/>
        <v>2970920</v>
      </c>
      <c r="M282" s="1478">
        <f t="shared" si="4"/>
        <v>1812800</v>
      </c>
      <c r="N282" s="3600">
        <f t="shared" si="4"/>
        <v>1701738</v>
      </c>
      <c r="O282" s="3596">
        <f t="shared" si="4"/>
        <v>1729284</v>
      </c>
      <c r="P282" s="2970">
        <f t="shared" si="4"/>
        <v>64250</v>
      </c>
      <c r="Q282" s="1490">
        <f>SUM(Q155)</f>
        <v>30000</v>
      </c>
      <c r="R282" s="1477">
        <f>SUM(R155)</f>
        <v>20000</v>
      </c>
      <c r="S282" s="111"/>
      <c r="T282" s="111"/>
      <c r="U282" s="111"/>
      <c r="V282" s="111"/>
    </row>
    <row r="283" spans="1:23" x14ac:dyDescent="0.2">
      <c r="A283" s="1093" t="s">
        <v>85</v>
      </c>
      <c r="B283" s="1094"/>
      <c r="C283" s="1095"/>
      <c r="D283" s="123">
        <f t="shared" ref="D283:P283" si="5">D202</f>
        <v>310000</v>
      </c>
      <c r="E283" s="123">
        <f t="shared" si="5"/>
        <v>240110.47</v>
      </c>
      <c r="F283" s="123">
        <f t="shared" si="5"/>
        <v>310000</v>
      </c>
      <c r="G283" s="123">
        <f t="shared" si="5"/>
        <v>240110.47</v>
      </c>
      <c r="H283" s="123">
        <f t="shared" si="5"/>
        <v>310000</v>
      </c>
      <c r="I283" s="123">
        <f t="shared" si="5"/>
        <v>240110.47</v>
      </c>
      <c r="J283" s="1426">
        <f t="shared" si="5"/>
        <v>3473630.42</v>
      </c>
      <c r="K283" s="1426">
        <f t="shared" si="5"/>
        <v>6315786</v>
      </c>
      <c r="L283" s="1427">
        <f t="shared" si="5"/>
        <v>2880952</v>
      </c>
      <c r="M283" s="1427">
        <f t="shared" si="5"/>
        <v>90020</v>
      </c>
      <c r="N283" s="3601">
        <f t="shared" si="5"/>
        <v>245468.41</v>
      </c>
      <c r="O283" s="3597">
        <f t="shared" si="5"/>
        <v>260725</v>
      </c>
      <c r="P283" s="2971">
        <f t="shared" si="5"/>
        <v>101860.8</v>
      </c>
      <c r="Q283" s="1491">
        <f>SUM(Q202)</f>
        <v>50</v>
      </c>
      <c r="R283" s="1492">
        <f>SUM(R202)</f>
        <v>50</v>
      </c>
      <c r="S283" s="111"/>
      <c r="T283" s="111"/>
      <c r="U283" s="111"/>
      <c r="V283" s="111"/>
      <c r="W283" s="144"/>
    </row>
    <row r="284" spans="1:23" ht="13.5" thickBot="1" x14ac:dyDescent="0.25">
      <c r="A284" s="2051" t="s">
        <v>161</v>
      </c>
      <c r="B284" s="2052"/>
      <c r="C284" s="2816"/>
      <c r="D284" s="124">
        <f t="shared" ref="D284:N284" si="6">D268</f>
        <v>0</v>
      </c>
      <c r="E284" s="124">
        <f t="shared" si="6"/>
        <v>0</v>
      </c>
      <c r="F284" s="124">
        <f t="shared" si="6"/>
        <v>0</v>
      </c>
      <c r="G284" s="124">
        <f t="shared" si="6"/>
        <v>0</v>
      </c>
      <c r="H284" s="124">
        <f t="shared" si="6"/>
        <v>0</v>
      </c>
      <c r="I284" s="124">
        <f t="shared" si="6"/>
        <v>0</v>
      </c>
      <c r="J284" s="2817">
        <f>J268</f>
        <v>696009</v>
      </c>
      <c r="K284" s="2817">
        <f t="shared" si="6"/>
        <v>753504.09</v>
      </c>
      <c r="L284" s="2818">
        <f>L268</f>
        <v>930051.71</v>
      </c>
      <c r="M284" s="2818">
        <f t="shared" si="6"/>
        <v>967961</v>
      </c>
      <c r="N284" s="3602">
        <f t="shared" si="6"/>
        <v>985398</v>
      </c>
      <c r="O284" s="3598">
        <f>O268</f>
        <v>966437</v>
      </c>
      <c r="P284" s="2972">
        <f>P268</f>
        <v>1022655</v>
      </c>
      <c r="Q284" s="2819">
        <f>Q268</f>
        <v>1028934</v>
      </c>
      <c r="R284" s="2820">
        <f>R268</f>
        <v>1028934</v>
      </c>
      <c r="S284" s="111"/>
      <c r="T284" s="111"/>
      <c r="U284" s="111"/>
      <c r="V284" s="111"/>
    </row>
    <row r="285" spans="1:23" ht="13.5" thickBot="1" x14ac:dyDescent="0.25">
      <c r="A285" s="2821" t="s">
        <v>166</v>
      </c>
      <c r="B285" s="2822"/>
      <c r="C285" s="2823"/>
      <c r="D285" s="2824">
        <f>SUM(D281,D282,D283,D284)</f>
        <v>781649.89</v>
      </c>
      <c r="E285" s="2824">
        <f>E281+E282+E283+E284</f>
        <v>578203.19999999995</v>
      </c>
      <c r="F285" s="2824">
        <f>SUM(F281,F282,F283,F284)</f>
        <v>781649.89</v>
      </c>
      <c r="G285" s="2824">
        <f>G281+G282+G283+G284</f>
        <v>578203.19999999995</v>
      </c>
      <c r="H285" s="2824">
        <f>SUM(H281,H282,H283,H284)</f>
        <v>781649.89</v>
      </c>
      <c r="I285" s="2824">
        <f>I281+I282+I283+I284</f>
        <v>578203.19999999995</v>
      </c>
      <c r="J285" s="2610">
        <f>SUM(J281:J284)</f>
        <v>8152998.6600000001</v>
      </c>
      <c r="K285" s="2610">
        <f>SUM(K281,K282,K283,K284)</f>
        <v>14463828.16</v>
      </c>
      <c r="L285" s="2611">
        <f>SUM(L281:L284)</f>
        <v>8357567.71</v>
      </c>
      <c r="M285" s="2611">
        <f>SUM(M281,M282,M283,M284)</f>
        <v>4306886</v>
      </c>
      <c r="N285" s="2612">
        <f>N281+N282+N283+N284</f>
        <v>4465562.41</v>
      </c>
      <c r="O285" s="2613">
        <f>O281+O282+O283+O284</f>
        <v>4522327</v>
      </c>
      <c r="P285" s="2844">
        <f>P281+P282+P283+P284</f>
        <v>2675315.7999999998</v>
      </c>
      <c r="Q285" s="2825">
        <f>SUM(Q281,Q282,Q283,Q284)</f>
        <v>2664792</v>
      </c>
      <c r="R285" s="2615">
        <f>SUM(R281,R282,R283,R284)</f>
        <v>2724639</v>
      </c>
      <c r="S285" s="111"/>
      <c r="T285" s="111"/>
      <c r="U285" s="111"/>
      <c r="V285" s="111"/>
    </row>
    <row r="286" spans="1:23" x14ac:dyDescent="0.2">
      <c r="P286" s="2941"/>
    </row>
    <row r="287" spans="1:23" x14ac:dyDescent="0.2">
      <c r="P287" s="2941"/>
    </row>
    <row r="288" spans="1:23" x14ac:dyDescent="0.2">
      <c r="P288" s="2941"/>
    </row>
    <row r="289" spans="16:16" x14ac:dyDescent="0.2">
      <c r="P289" s="2941"/>
    </row>
    <row r="290" spans="16:16" x14ac:dyDescent="0.2">
      <c r="P290" s="2941"/>
    </row>
    <row r="291" spans="16:16" x14ac:dyDescent="0.2">
      <c r="P291" s="2941"/>
    </row>
    <row r="292" spans="16:16" x14ac:dyDescent="0.2">
      <c r="P292" s="2941"/>
    </row>
  </sheetData>
  <mergeCells count="18">
    <mergeCell ref="A69:C69"/>
    <mergeCell ref="A2:R2"/>
    <mergeCell ref="A5:E5"/>
    <mergeCell ref="M5:R5"/>
    <mergeCell ref="A32:C32"/>
    <mergeCell ref="M35:R35"/>
    <mergeCell ref="M78:R78"/>
    <mergeCell ref="A117:C117"/>
    <mergeCell ref="M127:R127"/>
    <mergeCell ref="A132:C132"/>
    <mergeCell ref="M140:R140"/>
    <mergeCell ref="W139:Y139"/>
    <mergeCell ref="M195:R195"/>
    <mergeCell ref="A252:C252"/>
    <mergeCell ref="M174:R174"/>
    <mergeCell ref="A213:C213"/>
    <mergeCell ref="A236:C236"/>
    <mergeCell ref="A154:C154"/>
  </mergeCells>
  <phoneticPr fontId="44" type="noConversion"/>
  <printOptions horizontalCentered="1"/>
  <pageMargins left="0.43307086614173229" right="0.23622047244094491" top="0.74803149606299213" bottom="0.74803149606299213" header="0.31496062992125984" footer="0.31496062992125984"/>
  <pageSetup paperSize="9" scale="85" firstPageNumber="0" orientation="landscape" r:id="rId1"/>
  <headerFooter alignWithMargins="0">
    <oddFooter>&amp;CStrana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opLeftCell="A25" zoomScaleNormal="100" workbookViewId="0">
      <selection activeCell="A55" sqref="A55"/>
    </sheetView>
  </sheetViews>
  <sheetFormatPr defaultRowHeight="12.75" x14ac:dyDescent="0.2"/>
  <cols>
    <col min="1" max="1" width="3.5703125" style="147" customWidth="1"/>
    <col min="2" max="2" width="4.140625" style="1" customWidth="1"/>
    <col min="4" max="4" width="3.42578125" customWidth="1"/>
    <col min="5" max="5" width="31.140625" customWidth="1"/>
    <col min="6" max="6" width="11.85546875" style="148" customWidth="1"/>
    <col min="7" max="7" width="0" style="149" hidden="1" customWidth="1"/>
    <col min="8" max="9" width="9.140625" style="149"/>
    <col min="10" max="10" width="9.7109375" style="149" bestFit="1" customWidth="1"/>
    <col min="11" max="11" width="9.140625" style="149"/>
    <col min="12" max="12" width="8.42578125" style="150" customWidth="1"/>
    <col min="13" max="14" width="8.42578125" customWidth="1"/>
  </cols>
  <sheetData>
    <row r="1" spans="1:14" ht="15.75" x14ac:dyDescent="0.25">
      <c r="B1" s="151" t="s">
        <v>167</v>
      </c>
      <c r="E1" s="151" t="s">
        <v>168</v>
      </c>
      <c r="G1" s="152" t="e">
        <f>#REF!-G7</f>
        <v>#REF!</v>
      </c>
      <c r="H1" s="152"/>
      <c r="I1" s="152"/>
      <c r="J1" s="152"/>
      <c r="K1" s="152"/>
      <c r="L1" s="153"/>
      <c r="M1" s="153"/>
      <c r="N1" s="153"/>
    </row>
    <row r="2" spans="1:14" ht="13.5" thickBot="1" x14ac:dyDescent="0.25">
      <c r="A2" s="154"/>
      <c r="B2" s="155"/>
      <c r="C2" s="156"/>
      <c r="D2" s="156"/>
      <c r="E2" s="157"/>
      <c r="F2" s="158"/>
      <c r="G2" s="152" t="e">
        <f>SUM(G8:G10)</f>
        <v>#REF!</v>
      </c>
      <c r="H2" s="152"/>
      <c r="I2" s="152"/>
      <c r="J2" s="152"/>
      <c r="K2" s="152"/>
      <c r="L2" s="159">
        <f>SUM(L8:L10)</f>
        <v>485572</v>
      </c>
      <c r="M2" s="159">
        <f>SUM(M8:M10)</f>
        <v>458960</v>
      </c>
      <c r="N2" s="159">
        <f>SUM(N8:N10)</f>
        <v>450580</v>
      </c>
    </row>
    <row r="3" spans="1:14" ht="16.5" customHeight="1" thickBot="1" x14ac:dyDescent="0.3">
      <c r="A3" s="160"/>
      <c r="B3" s="161"/>
      <c r="C3" s="162"/>
      <c r="D3" s="162"/>
      <c r="E3" s="163"/>
      <c r="F3" s="164"/>
      <c r="G3" s="3713" t="s">
        <v>169</v>
      </c>
      <c r="H3" s="3713"/>
      <c r="I3" s="3713"/>
      <c r="J3" s="3713"/>
      <c r="K3" s="3713"/>
      <c r="L3" s="3714"/>
      <c r="M3" s="3713"/>
      <c r="N3" s="3713"/>
    </row>
    <row r="4" spans="1:14" ht="12" customHeight="1" thickBot="1" x14ac:dyDescent="0.25">
      <c r="A4" s="165"/>
      <c r="B4" s="166" t="s">
        <v>170</v>
      </c>
      <c r="C4" s="167" t="s">
        <v>171</v>
      </c>
      <c r="D4" s="3715" t="s">
        <v>172</v>
      </c>
      <c r="E4" s="3715"/>
      <c r="F4" s="3715"/>
      <c r="G4" s="168"/>
      <c r="H4" s="890">
        <v>2019</v>
      </c>
      <c r="I4" s="169">
        <v>2020</v>
      </c>
      <c r="J4" s="169" t="s">
        <v>995</v>
      </c>
      <c r="K4" s="169" t="s">
        <v>992</v>
      </c>
      <c r="L4" s="169">
        <v>2022</v>
      </c>
      <c r="M4" s="169">
        <v>2023</v>
      </c>
      <c r="N4" s="169">
        <v>2024</v>
      </c>
    </row>
    <row r="5" spans="1:14" ht="12" customHeight="1" x14ac:dyDescent="0.2">
      <c r="A5" s="165"/>
      <c r="B5" s="166" t="s">
        <v>173</v>
      </c>
      <c r="C5" s="167" t="s">
        <v>174</v>
      </c>
      <c r="D5" s="3715"/>
      <c r="E5" s="3715"/>
      <c r="F5" s="3715"/>
      <c r="G5" s="170" t="s">
        <v>175</v>
      </c>
      <c r="H5" s="307" t="s">
        <v>176</v>
      </c>
      <c r="I5" s="171" t="s">
        <v>176</v>
      </c>
      <c r="J5" s="171" t="s">
        <v>176</v>
      </c>
      <c r="K5" s="427" t="s">
        <v>176</v>
      </c>
      <c r="L5" s="1082" t="s">
        <v>176</v>
      </c>
      <c r="M5" s="172" t="s">
        <v>177</v>
      </c>
      <c r="N5" s="172" t="s">
        <v>177</v>
      </c>
    </row>
    <row r="6" spans="1:14" ht="15" customHeight="1" x14ac:dyDescent="0.2">
      <c r="A6" s="165"/>
      <c r="B6" s="166" t="s">
        <v>178</v>
      </c>
      <c r="C6" s="167" t="s">
        <v>179</v>
      </c>
      <c r="D6" s="3715"/>
      <c r="E6" s="3715"/>
      <c r="F6" s="3715"/>
      <c r="G6" s="173">
        <v>1</v>
      </c>
      <c r="H6" s="173">
        <v>-3</v>
      </c>
      <c r="I6" s="173">
        <v>-2</v>
      </c>
      <c r="J6" s="173">
        <v>-1</v>
      </c>
      <c r="K6" s="173">
        <v>-1</v>
      </c>
      <c r="L6" s="915">
        <v>0</v>
      </c>
      <c r="M6" s="175">
        <v>1</v>
      </c>
      <c r="N6" s="175">
        <v>2</v>
      </c>
    </row>
    <row r="7" spans="1:14" ht="15" x14ac:dyDescent="0.25">
      <c r="A7" s="176">
        <v>1</v>
      </c>
      <c r="B7" s="177" t="s">
        <v>180</v>
      </c>
      <c r="C7" s="178"/>
      <c r="D7" s="179"/>
      <c r="E7" s="179" t="s">
        <v>168</v>
      </c>
      <c r="F7" s="180"/>
      <c r="G7" s="181" t="e">
        <f>G11+#REF!+#REF!+#REF!+#REF!+#REF!+#REF!</f>
        <v>#REF!</v>
      </c>
      <c r="H7" s="1823">
        <f>SUM(H8:H10)</f>
        <v>5932144</v>
      </c>
      <c r="I7" s="1824">
        <f>SUM(I8:I10)</f>
        <v>3039450</v>
      </c>
      <c r="J7" s="1826">
        <f>J11+J35+J40+J54+J63</f>
        <v>1430790</v>
      </c>
      <c r="K7" s="1825">
        <f>SUM(K8:K10)</f>
        <v>1488609</v>
      </c>
      <c r="L7" s="1514">
        <f>SUM(L8:L10)</f>
        <v>485572</v>
      </c>
      <c r="M7" s="1515">
        <f>SUM(M8:M10)</f>
        <v>458960</v>
      </c>
      <c r="N7" s="1772">
        <f>SUM(N8:N10)</f>
        <v>450580</v>
      </c>
    </row>
    <row r="8" spans="1:14" x14ac:dyDescent="0.2">
      <c r="A8" s="183">
        <f t="shared" ref="A8:A23" si="0">A7+1</f>
        <v>2</v>
      </c>
      <c r="B8" s="184" t="s">
        <v>181</v>
      </c>
      <c r="C8" s="827" t="s">
        <v>182</v>
      </c>
      <c r="D8" s="828"/>
      <c r="E8" s="829"/>
      <c r="F8" s="830"/>
      <c r="G8" s="954" t="e">
        <f>G43+G46+#REF!+#REF!+#REF!+#REF!+#REF!+#REF!+G48</f>
        <v>#REF!</v>
      </c>
      <c r="H8" s="1059">
        <f>H13+H28+H36+H41+H55+H64</f>
        <v>307077</v>
      </c>
      <c r="I8" s="955">
        <f>SUM(I13,I28,I36,I41,I55,I64)</f>
        <v>289814</v>
      </c>
      <c r="J8" s="956">
        <f>J13+J28+J36+J41+J55+J64</f>
        <v>304060</v>
      </c>
      <c r="K8" s="1069">
        <f>SUM(K13,K28,K36,K41,K55,K64)</f>
        <v>337255</v>
      </c>
      <c r="L8" s="1059">
        <f>SUM(L13,L28,L36,L41,L55,L64)</f>
        <v>354280</v>
      </c>
      <c r="M8" s="955">
        <f>SUM(M13,M28,M36,M41,M55,M64)</f>
        <v>327960</v>
      </c>
      <c r="N8" s="956">
        <f>SUM(N13,N28,N36,N41,N55,N64)</f>
        <v>329580</v>
      </c>
    </row>
    <row r="9" spans="1:14" x14ac:dyDescent="0.2">
      <c r="A9" s="183">
        <f t="shared" si="0"/>
        <v>3</v>
      </c>
      <c r="B9" s="184" t="s">
        <v>183</v>
      </c>
      <c r="C9" s="957" t="s">
        <v>184</v>
      </c>
      <c r="D9" s="958"/>
      <c r="E9" s="959"/>
      <c r="F9" s="960"/>
      <c r="G9" s="961" t="e">
        <f>#REF!</f>
        <v>#REF!</v>
      </c>
      <c r="H9" s="1060">
        <f>H24</f>
        <v>3263</v>
      </c>
      <c r="I9" s="962">
        <f>SUM(I24)</f>
        <v>4949</v>
      </c>
      <c r="J9" s="963">
        <f>J24</f>
        <v>0</v>
      </c>
      <c r="K9" s="1070">
        <f>SUM(K24)</f>
        <v>1000</v>
      </c>
      <c r="L9" s="1060">
        <f>SUM(L24)</f>
        <v>6000</v>
      </c>
      <c r="M9" s="962">
        <f>SUM(M24)</f>
        <v>6000</v>
      </c>
      <c r="N9" s="963">
        <f>SUM(N24)</f>
        <v>6000</v>
      </c>
    </row>
    <row r="10" spans="1:14" ht="13.5" thickBot="1" x14ac:dyDescent="0.25">
      <c r="A10" s="183">
        <f t="shared" si="0"/>
        <v>4</v>
      </c>
      <c r="B10" s="187"/>
      <c r="C10" s="855" t="s">
        <v>185</v>
      </c>
      <c r="D10" s="856"/>
      <c r="E10" s="857"/>
      <c r="F10" s="858"/>
      <c r="G10" s="859">
        <v>0</v>
      </c>
      <c r="H10" s="1061">
        <f t="shared" ref="H10:N10" si="1">H49</f>
        <v>5621804</v>
      </c>
      <c r="I10" s="892">
        <f t="shared" si="1"/>
        <v>2744687</v>
      </c>
      <c r="J10" s="860">
        <f t="shared" si="1"/>
        <v>1126730</v>
      </c>
      <c r="K10" s="1071">
        <f t="shared" si="1"/>
        <v>1150354</v>
      </c>
      <c r="L10" s="1512">
        <f t="shared" si="1"/>
        <v>125292</v>
      </c>
      <c r="M10" s="1513">
        <f t="shared" si="1"/>
        <v>125000</v>
      </c>
      <c r="N10" s="861">
        <f t="shared" si="1"/>
        <v>115000</v>
      </c>
    </row>
    <row r="11" spans="1:14" ht="13.5" thickTop="1" x14ac:dyDescent="0.2">
      <c r="A11" s="183">
        <f t="shared" si="0"/>
        <v>5</v>
      </c>
      <c r="B11" s="188">
        <v>1</v>
      </c>
      <c r="C11" s="189" t="s">
        <v>186</v>
      </c>
      <c r="D11" s="190"/>
      <c r="E11" s="190"/>
      <c r="F11" s="191"/>
      <c r="G11" s="192">
        <f>G12+G45+G47</f>
        <v>0</v>
      </c>
      <c r="H11" s="762">
        <f>H12+H27</f>
        <v>258004</v>
      </c>
      <c r="I11" s="391">
        <f>SUM(I12+I27)</f>
        <v>250855</v>
      </c>
      <c r="J11" s="193">
        <f>J12+J27</f>
        <v>263120</v>
      </c>
      <c r="K11" s="1029">
        <f>SUM(K12+K27)</f>
        <v>295415</v>
      </c>
      <c r="L11" s="1083">
        <f>SUM(L12+L27)</f>
        <v>316360</v>
      </c>
      <c r="M11" s="362">
        <f>SUM(M12+M27)</f>
        <v>295760</v>
      </c>
      <c r="N11" s="194">
        <f>SUM(N12+N27)</f>
        <v>298160</v>
      </c>
    </row>
    <row r="12" spans="1:14" s="202" customFormat="1" x14ac:dyDescent="0.2">
      <c r="A12" s="183">
        <f t="shared" si="0"/>
        <v>6</v>
      </c>
      <c r="B12" s="195"/>
      <c r="C12" s="196" t="s">
        <v>187</v>
      </c>
      <c r="D12" s="197" t="s">
        <v>188</v>
      </c>
      <c r="E12" s="198"/>
      <c r="F12" s="199"/>
      <c r="G12" s="200">
        <f>G44</f>
        <v>0</v>
      </c>
      <c r="H12" s="1055">
        <f>H13+H24</f>
        <v>242166</v>
      </c>
      <c r="I12" s="893">
        <f>SUM(I13+I24)</f>
        <v>236479</v>
      </c>
      <c r="J12" s="201">
        <f>J13+J24</f>
        <v>247060</v>
      </c>
      <c r="K12" s="1072">
        <f>SUM(K13+K24)</f>
        <v>279355</v>
      </c>
      <c r="L12" s="1055">
        <f>SUM(L13+L24)</f>
        <v>300060</v>
      </c>
      <c r="M12" s="893">
        <f>SUM(M13+M24)</f>
        <v>279160</v>
      </c>
      <c r="N12" s="201">
        <f>SUM(N13+N24)</f>
        <v>281160</v>
      </c>
    </row>
    <row r="13" spans="1:14" x14ac:dyDescent="0.2">
      <c r="A13" s="183">
        <f t="shared" si="0"/>
        <v>7</v>
      </c>
      <c r="B13" s="203"/>
      <c r="C13" s="204"/>
      <c r="D13" s="185" t="s">
        <v>182</v>
      </c>
      <c r="E13" s="205"/>
      <c r="F13" s="206"/>
      <c r="G13" s="207">
        <f t="shared" ref="G13:N13" si="2">G14</f>
        <v>14478.800000000005</v>
      </c>
      <c r="H13" s="692">
        <f>H14</f>
        <v>238903</v>
      </c>
      <c r="I13" s="359">
        <f t="shared" si="2"/>
        <v>231530</v>
      </c>
      <c r="J13" s="208">
        <f>J14</f>
        <v>247060</v>
      </c>
      <c r="K13" s="470">
        <f t="shared" si="2"/>
        <v>278355</v>
      </c>
      <c r="L13" s="692">
        <f t="shared" si="2"/>
        <v>294060</v>
      </c>
      <c r="M13" s="359">
        <f t="shared" si="2"/>
        <v>273160</v>
      </c>
      <c r="N13" s="208">
        <f t="shared" si="2"/>
        <v>275160</v>
      </c>
    </row>
    <row r="14" spans="1:14" x14ac:dyDescent="0.2">
      <c r="A14" s="183">
        <f t="shared" si="0"/>
        <v>8</v>
      </c>
      <c r="B14" s="209"/>
      <c r="C14" s="210" t="s">
        <v>189</v>
      </c>
      <c r="D14" s="211" t="s">
        <v>190</v>
      </c>
      <c r="E14" s="212"/>
      <c r="F14" s="213"/>
      <c r="G14" s="214">
        <f>SUM(G15:G36)</f>
        <v>14478.800000000005</v>
      </c>
      <c r="H14" s="693">
        <f t="shared" ref="H14:N14" si="3">SUM(H15:H23)</f>
        <v>238903</v>
      </c>
      <c r="I14" s="392">
        <f t="shared" si="3"/>
        <v>231530</v>
      </c>
      <c r="J14" s="215">
        <f t="shared" si="3"/>
        <v>247060</v>
      </c>
      <c r="K14" s="330">
        <f t="shared" si="3"/>
        <v>278355</v>
      </c>
      <c r="L14" s="693">
        <f t="shared" si="3"/>
        <v>294060</v>
      </c>
      <c r="M14" s="392">
        <f t="shared" si="3"/>
        <v>273160</v>
      </c>
      <c r="N14" s="215">
        <f t="shared" si="3"/>
        <v>275160</v>
      </c>
    </row>
    <row r="15" spans="1:14" x14ac:dyDescent="0.2">
      <c r="A15" s="183">
        <f t="shared" si="0"/>
        <v>9</v>
      </c>
      <c r="B15" s="216"/>
      <c r="C15" s="217" t="s">
        <v>191</v>
      </c>
      <c r="D15" s="218">
        <v>1</v>
      </c>
      <c r="E15" s="219" t="s">
        <v>192</v>
      </c>
      <c r="F15" s="220"/>
      <c r="G15" s="221">
        <f t="shared" ref="G15:G23" si="4">ROUND(M15/30.126,1)</f>
        <v>3551.7</v>
      </c>
      <c r="H15" s="694">
        <f>výdavky!E8+výdavky!E9</f>
        <v>96091</v>
      </c>
      <c r="I15" s="360">
        <f>výdavky!F8+výdavky!F9</f>
        <v>100548</v>
      </c>
      <c r="J15" s="222">
        <f>výdavky!G8+výdavky!G9</f>
        <v>105500</v>
      </c>
      <c r="K15" s="686">
        <f>výdavky!I8+výdavky!I9</f>
        <v>105500</v>
      </c>
      <c r="L15" s="694">
        <f>výdavky!J8+výdavky!J9</f>
        <v>107000</v>
      </c>
      <c r="M15" s="360">
        <f>výdavky!K8</f>
        <v>107000</v>
      </c>
      <c r="N15" s="222">
        <f>výdavky!L8</f>
        <v>107000</v>
      </c>
    </row>
    <row r="16" spans="1:14" x14ac:dyDescent="0.2">
      <c r="A16" s="183">
        <f t="shared" si="0"/>
        <v>10</v>
      </c>
      <c r="B16" s="216"/>
      <c r="C16" s="217" t="s">
        <v>193</v>
      </c>
      <c r="D16" s="223">
        <f t="shared" ref="D16:D23" si="5">D15+1</f>
        <v>2</v>
      </c>
      <c r="E16" s="224" t="s">
        <v>194</v>
      </c>
      <c r="F16" s="225"/>
      <c r="G16" s="226">
        <f t="shared" si="4"/>
        <v>1347.7</v>
      </c>
      <c r="H16" s="695">
        <f>výdavky!E12</f>
        <v>34212</v>
      </c>
      <c r="I16" s="361">
        <f>výdavky!F12+výdavky!F76</f>
        <v>36157</v>
      </c>
      <c r="J16" s="227">
        <f>výdavky!G12</f>
        <v>39340</v>
      </c>
      <c r="K16" s="475">
        <f>výdavky!I12</f>
        <v>39340</v>
      </c>
      <c r="L16" s="695">
        <f>výdavky!J12</f>
        <v>40600</v>
      </c>
      <c r="M16" s="361">
        <f>výdavky!K12</f>
        <v>40600</v>
      </c>
      <c r="N16" s="227">
        <f>výdavky!L12</f>
        <v>40600</v>
      </c>
    </row>
    <row r="17" spans="1:14" x14ac:dyDescent="0.2">
      <c r="A17" s="183">
        <f t="shared" si="0"/>
        <v>11</v>
      </c>
      <c r="B17" s="216"/>
      <c r="C17" s="217" t="s">
        <v>195</v>
      </c>
      <c r="D17" s="218">
        <f t="shared" si="5"/>
        <v>3</v>
      </c>
      <c r="E17" s="219" t="s">
        <v>196</v>
      </c>
      <c r="F17" s="220"/>
      <c r="G17" s="221">
        <f t="shared" si="4"/>
        <v>6.6</v>
      </c>
      <c r="H17" s="694">
        <f>výdavky!E14</f>
        <v>59</v>
      </c>
      <c r="I17" s="360">
        <f>výdavky!F14</f>
        <v>0</v>
      </c>
      <c r="J17" s="222">
        <f>výdavky!G14</f>
        <v>200</v>
      </c>
      <c r="K17" s="686">
        <f>výdavky!I14</f>
        <v>100</v>
      </c>
      <c r="L17" s="694">
        <f>výdavky!J14</f>
        <v>100</v>
      </c>
      <c r="M17" s="360">
        <f>výdavky!K14</f>
        <v>200</v>
      </c>
      <c r="N17" s="222">
        <f>výdavky!L14</f>
        <v>200</v>
      </c>
    </row>
    <row r="18" spans="1:14" x14ac:dyDescent="0.2">
      <c r="A18" s="183">
        <f t="shared" si="0"/>
        <v>12</v>
      </c>
      <c r="B18" s="216"/>
      <c r="C18" s="217" t="s">
        <v>197</v>
      </c>
      <c r="D18" s="223">
        <f t="shared" si="5"/>
        <v>4</v>
      </c>
      <c r="E18" s="228" t="s">
        <v>198</v>
      </c>
      <c r="F18" s="229"/>
      <c r="G18" s="226">
        <f t="shared" si="4"/>
        <v>829.8</v>
      </c>
      <c r="H18" s="695">
        <f>výdavky!E15</f>
        <v>12467</v>
      </c>
      <c r="I18" s="361">
        <f>výdavky!F15</f>
        <v>12788</v>
      </c>
      <c r="J18" s="227">
        <f>výdavky!G15</f>
        <v>15450</v>
      </c>
      <c r="K18" s="475">
        <f>výdavky!I15</f>
        <v>15450</v>
      </c>
      <c r="L18" s="695">
        <f>výdavky!J15</f>
        <v>25000</v>
      </c>
      <c r="M18" s="361">
        <f>výdavky!K15</f>
        <v>25000</v>
      </c>
      <c r="N18" s="227">
        <f>výdavky!L15</f>
        <v>25000</v>
      </c>
    </row>
    <row r="19" spans="1:14" x14ac:dyDescent="0.2">
      <c r="A19" s="183">
        <f t="shared" si="0"/>
        <v>13</v>
      </c>
      <c r="B19" s="216"/>
      <c r="C19" s="217" t="s">
        <v>199</v>
      </c>
      <c r="D19" s="223">
        <f t="shared" si="5"/>
        <v>5</v>
      </c>
      <c r="E19" s="219" t="s">
        <v>200</v>
      </c>
      <c r="F19" s="220"/>
      <c r="G19" s="221">
        <f t="shared" si="4"/>
        <v>886.3</v>
      </c>
      <c r="H19" s="694">
        <f>výdavky!E17</f>
        <v>36414</v>
      </c>
      <c r="I19" s="360">
        <f>výdavky!F17</f>
        <v>27464</v>
      </c>
      <c r="J19" s="222">
        <f>výdavky!G17</f>
        <v>26800</v>
      </c>
      <c r="K19" s="686">
        <f>výdavky!I17</f>
        <v>26800</v>
      </c>
      <c r="L19" s="694">
        <f>výdavky!J17</f>
        <v>26800</v>
      </c>
      <c r="M19" s="360">
        <f>výdavky!K17</f>
        <v>26700</v>
      </c>
      <c r="N19" s="222">
        <f>výdavky!L17</f>
        <v>26700</v>
      </c>
    </row>
    <row r="20" spans="1:14" x14ac:dyDescent="0.2">
      <c r="A20" s="183">
        <f t="shared" si="0"/>
        <v>14</v>
      </c>
      <c r="B20" s="216"/>
      <c r="C20" s="217" t="s">
        <v>201</v>
      </c>
      <c r="D20" s="218">
        <f t="shared" si="5"/>
        <v>6</v>
      </c>
      <c r="E20" s="230" t="s">
        <v>202</v>
      </c>
      <c r="F20" s="231"/>
      <c r="G20" s="232">
        <f t="shared" si="4"/>
        <v>492.9</v>
      </c>
      <c r="H20" s="698">
        <f>výdavky!E30</f>
        <v>16403</v>
      </c>
      <c r="I20" s="402">
        <f>výdavky!F30</f>
        <v>12801</v>
      </c>
      <c r="J20" s="233">
        <f>výdavky!G30</f>
        <v>12850</v>
      </c>
      <c r="K20" s="688">
        <f>výdavky!I30</f>
        <v>11100</v>
      </c>
      <c r="L20" s="698">
        <f>výdavky!J30</f>
        <v>14100</v>
      </c>
      <c r="M20" s="402">
        <f>výdavky!K30</f>
        <v>14850</v>
      </c>
      <c r="N20" s="233">
        <f>výdavky!L30</f>
        <v>15850</v>
      </c>
    </row>
    <row r="21" spans="1:14" x14ac:dyDescent="0.2">
      <c r="A21" s="183">
        <f t="shared" si="0"/>
        <v>15</v>
      </c>
      <c r="B21" s="216"/>
      <c r="C21" s="217" t="s">
        <v>203</v>
      </c>
      <c r="D21" s="223">
        <f t="shared" si="5"/>
        <v>7</v>
      </c>
      <c r="E21" s="228" t="s">
        <v>204</v>
      </c>
      <c r="F21" s="229"/>
      <c r="G21" s="226">
        <f t="shared" si="4"/>
        <v>73</v>
      </c>
      <c r="H21" s="695">
        <f>výdavky!E37</f>
        <v>179</v>
      </c>
      <c r="I21" s="361">
        <f>výdavky!F37</f>
        <v>1032</v>
      </c>
      <c r="J21" s="227">
        <f>výdavky!G37</f>
        <v>2200</v>
      </c>
      <c r="K21" s="475">
        <f>výdavky!I37</f>
        <v>1300</v>
      </c>
      <c r="L21" s="695">
        <f>výdavky!J37</f>
        <v>5300</v>
      </c>
      <c r="M21" s="361">
        <f>výdavky!K37</f>
        <v>2200</v>
      </c>
      <c r="N21" s="227">
        <f>výdavky!L37</f>
        <v>2200</v>
      </c>
    </row>
    <row r="22" spans="1:14" x14ac:dyDescent="0.2">
      <c r="A22" s="183">
        <f t="shared" si="0"/>
        <v>16</v>
      </c>
      <c r="B22" s="216"/>
      <c r="C22" s="217" t="s">
        <v>205</v>
      </c>
      <c r="D22" s="223">
        <f t="shared" si="5"/>
        <v>8</v>
      </c>
      <c r="E22" s="228" t="s">
        <v>206</v>
      </c>
      <c r="F22" s="229"/>
      <c r="G22" s="226">
        <f t="shared" si="4"/>
        <v>73</v>
      </c>
      <c r="H22" s="695">
        <f>výdavky!E41</f>
        <v>10</v>
      </c>
      <c r="I22" s="361">
        <f>výdavky!F41</f>
        <v>3482</v>
      </c>
      <c r="J22" s="227">
        <f>výdavky!G41</f>
        <v>220</v>
      </c>
      <c r="K22" s="475">
        <f>výdavky!I41</f>
        <v>2900</v>
      </c>
      <c r="L22" s="695">
        <f>výdavky!J41</f>
        <v>2200</v>
      </c>
      <c r="M22" s="361">
        <f>výdavky!K41</f>
        <v>2200</v>
      </c>
      <c r="N22" s="227">
        <f>výdavky!L41</f>
        <v>2200</v>
      </c>
    </row>
    <row r="23" spans="1:14" x14ac:dyDescent="0.2">
      <c r="A23" s="183">
        <f t="shared" si="0"/>
        <v>17</v>
      </c>
      <c r="B23" s="216"/>
      <c r="C23" s="217" t="s">
        <v>207</v>
      </c>
      <c r="D23" s="223">
        <f t="shared" si="5"/>
        <v>9</v>
      </c>
      <c r="E23" s="228" t="s">
        <v>208</v>
      </c>
      <c r="F23" s="229"/>
      <c r="G23" s="226">
        <f t="shared" si="4"/>
        <v>1806.1</v>
      </c>
      <c r="H23" s="695">
        <f>výdavky!E49</f>
        <v>43068</v>
      </c>
      <c r="I23" s="361">
        <f>výdavky!F49</f>
        <v>37258</v>
      </c>
      <c r="J23" s="227">
        <f>výdavky!G49+výdavky!G71</f>
        <v>44500</v>
      </c>
      <c r="K23" s="475">
        <f>výdavky!I49</f>
        <v>75865</v>
      </c>
      <c r="L23" s="695">
        <f>výdavky!J49+výdavky!J71</f>
        <v>72960</v>
      </c>
      <c r="M23" s="361">
        <f>výdavky!K49+výdavky!K71</f>
        <v>54410</v>
      </c>
      <c r="N23" s="227">
        <f>výdavky!L49+výdavky!L71</f>
        <v>55410</v>
      </c>
    </row>
    <row r="24" spans="1:14" x14ac:dyDescent="0.2">
      <c r="A24" s="183">
        <v>18</v>
      </c>
      <c r="B24" s="209"/>
      <c r="C24" s="217"/>
      <c r="D24" s="850" t="s">
        <v>184</v>
      </c>
      <c r="E24" s="851"/>
      <c r="F24" s="852"/>
      <c r="G24" s="853">
        <f t="shared" ref="G24:N24" si="6">G25</f>
        <v>1405.6000000000001</v>
      </c>
      <c r="H24" s="1056">
        <f>H25</f>
        <v>3263</v>
      </c>
      <c r="I24" s="894">
        <f t="shared" si="6"/>
        <v>4949</v>
      </c>
      <c r="J24" s="854">
        <f>J25</f>
        <v>0</v>
      </c>
      <c r="K24" s="1073">
        <f t="shared" si="6"/>
        <v>1000</v>
      </c>
      <c r="L24" s="1056">
        <f t="shared" si="6"/>
        <v>6000</v>
      </c>
      <c r="M24" s="894">
        <f t="shared" si="6"/>
        <v>6000</v>
      </c>
      <c r="N24" s="854">
        <f t="shared" si="6"/>
        <v>6000</v>
      </c>
    </row>
    <row r="25" spans="1:14" x14ac:dyDescent="0.2">
      <c r="A25" s="183">
        <f>A24+1</f>
        <v>19</v>
      </c>
      <c r="B25" s="216"/>
      <c r="C25" s="210" t="s">
        <v>189</v>
      </c>
      <c r="D25" s="211" t="s">
        <v>190</v>
      </c>
      <c r="E25" s="212"/>
      <c r="F25" s="213"/>
      <c r="G25" s="214">
        <f>SUM(G26:G28)</f>
        <v>1405.6000000000001</v>
      </c>
      <c r="H25" s="1034">
        <f>H26</f>
        <v>3263</v>
      </c>
      <c r="I25" s="392">
        <f>SUM(I26:I26)</f>
        <v>4949</v>
      </c>
      <c r="J25" s="215">
        <f>J26</f>
        <v>0</v>
      </c>
      <c r="K25" s="330">
        <f>SUM(K26:K26)</f>
        <v>1000</v>
      </c>
      <c r="L25" s="693">
        <f>SUM(L26:L26)</f>
        <v>6000</v>
      </c>
      <c r="M25" s="392">
        <f>SUM(M26:M26)</f>
        <v>6000</v>
      </c>
      <c r="N25" s="215">
        <f>SUM(N26:N26)</f>
        <v>6000</v>
      </c>
    </row>
    <row r="26" spans="1:14" x14ac:dyDescent="0.2">
      <c r="A26" s="183">
        <f>A25+1</f>
        <v>20</v>
      </c>
      <c r="B26" s="209"/>
      <c r="C26" s="217" t="s">
        <v>209</v>
      </c>
      <c r="D26" s="223">
        <v>1</v>
      </c>
      <c r="E26" s="228" t="s">
        <v>811</v>
      </c>
      <c r="F26" s="234"/>
      <c r="G26" s="235">
        <v>18.2</v>
      </c>
      <c r="H26" s="695">
        <f>výdavky!E666</f>
        <v>3263</v>
      </c>
      <c r="I26" s="361">
        <f>výdavky!F666</f>
        <v>4949</v>
      </c>
      <c r="J26" s="227">
        <f>výdavky!G666</f>
        <v>0</v>
      </c>
      <c r="K26" s="475">
        <f>výdavky!I666</f>
        <v>1000</v>
      </c>
      <c r="L26" s="695">
        <f>výdavky!J666</f>
        <v>6000</v>
      </c>
      <c r="M26" s="361">
        <f>výdavky!K666</f>
        <v>6000</v>
      </c>
      <c r="N26" s="227">
        <f>výdavky!L666</f>
        <v>6000</v>
      </c>
    </row>
    <row r="27" spans="1:14" x14ac:dyDescent="0.2">
      <c r="A27" s="183">
        <v>21</v>
      </c>
      <c r="B27" s="236"/>
      <c r="C27" s="196" t="s">
        <v>210</v>
      </c>
      <c r="D27" s="197" t="s">
        <v>211</v>
      </c>
      <c r="E27" s="237"/>
      <c r="F27" s="238"/>
      <c r="G27" s="239">
        <f>G29</f>
        <v>693.7</v>
      </c>
      <c r="H27" s="1057">
        <f>H29</f>
        <v>15838</v>
      </c>
      <c r="I27" s="895">
        <f t="shared" ref="I27:N28" si="7">I28</f>
        <v>14376</v>
      </c>
      <c r="J27" s="240">
        <f>J28</f>
        <v>16060</v>
      </c>
      <c r="K27" s="1074">
        <f t="shared" si="7"/>
        <v>16060</v>
      </c>
      <c r="L27" s="1057">
        <f t="shared" si="7"/>
        <v>16300</v>
      </c>
      <c r="M27" s="895">
        <f t="shared" si="7"/>
        <v>16600</v>
      </c>
      <c r="N27" s="240">
        <f t="shared" si="7"/>
        <v>17000</v>
      </c>
    </row>
    <row r="28" spans="1:14" s="242" customFormat="1" x14ac:dyDescent="0.2">
      <c r="A28" s="183">
        <f>A27+1</f>
        <v>22</v>
      </c>
      <c r="B28" s="241"/>
      <c r="C28" s="204"/>
      <c r="D28" s="186" t="s">
        <v>182</v>
      </c>
      <c r="E28" s="205"/>
      <c r="F28" s="206"/>
      <c r="G28" s="207">
        <f>G29</f>
        <v>693.7</v>
      </c>
      <c r="H28" s="692">
        <f>H29</f>
        <v>15838</v>
      </c>
      <c r="I28" s="359">
        <f t="shared" si="7"/>
        <v>14376</v>
      </c>
      <c r="J28" s="208">
        <f>J29</f>
        <v>16060</v>
      </c>
      <c r="K28" s="470">
        <f t="shared" si="7"/>
        <v>16060</v>
      </c>
      <c r="L28" s="692">
        <f t="shared" si="7"/>
        <v>16300</v>
      </c>
      <c r="M28" s="359">
        <f t="shared" si="7"/>
        <v>16600</v>
      </c>
      <c r="N28" s="208">
        <f t="shared" si="7"/>
        <v>17000</v>
      </c>
    </row>
    <row r="29" spans="1:14" s="242" customFormat="1" x14ac:dyDescent="0.2">
      <c r="A29" s="183">
        <f>A28+1</f>
        <v>23</v>
      </c>
      <c r="B29" s="241"/>
      <c r="C29" s="243" t="s">
        <v>189</v>
      </c>
      <c r="D29" s="244" t="s">
        <v>190</v>
      </c>
      <c r="E29" s="212"/>
      <c r="F29" s="245"/>
      <c r="G29" s="246">
        <f>SUM(G34:G37)</f>
        <v>693.7</v>
      </c>
      <c r="H29" s="693">
        <f>SUM(H30:H34)</f>
        <v>15838</v>
      </c>
      <c r="I29" s="392">
        <f>SUM(I30,I31,I32,I33,I34)</f>
        <v>14376</v>
      </c>
      <c r="J29" s="215">
        <f>SUM(J30:J34)</f>
        <v>16060</v>
      </c>
      <c r="K29" s="330">
        <f>SUM(K30,K31,K32,K33,K34)</f>
        <v>16060</v>
      </c>
      <c r="L29" s="693">
        <f>SUM(L30,L31,L32,L33,L34)</f>
        <v>16300</v>
      </c>
      <c r="M29" s="392">
        <f>SUM(M30,M31,M32,M33,M34)</f>
        <v>16600</v>
      </c>
      <c r="N29" s="215">
        <f>SUM(N30,N31,N32,N33,N34)</f>
        <v>17000</v>
      </c>
    </row>
    <row r="30" spans="1:14" s="242" customFormat="1" x14ac:dyDescent="0.2">
      <c r="A30" s="183">
        <v>24</v>
      </c>
      <c r="B30" s="241"/>
      <c r="C30" s="247" t="s">
        <v>191</v>
      </c>
      <c r="D30" s="248">
        <v>1</v>
      </c>
      <c r="E30" s="249" t="s">
        <v>192</v>
      </c>
      <c r="F30" s="250" t="s">
        <v>212</v>
      </c>
      <c r="G30" s="251"/>
      <c r="H30" s="694">
        <f>výdavky!E81</f>
        <v>8310</v>
      </c>
      <c r="I30" s="360">
        <f>výdavky!F81</f>
        <v>7498</v>
      </c>
      <c r="J30" s="222">
        <f>výdavky!G81</f>
        <v>8800</v>
      </c>
      <c r="K30" s="686">
        <f>výdavky!I81</f>
        <v>8800</v>
      </c>
      <c r="L30" s="694">
        <f>výdavky!J81</f>
        <v>9000</v>
      </c>
      <c r="M30" s="360">
        <f>výdavky!K81</f>
        <v>9200</v>
      </c>
      <c r="N30" s="222">
        <f>výdavky!L81</f>
        <v>9500</v>
      </c>
    </row>
    <row r="31" spans="1:14" s="242" customFormat="1" x14ac:dyDescent="0.2">
      <c r="A31" s="183">
        <v>25</v>
      </c>
      <c r="B31" s="241"/>
      <c r="C31" s="247" t="s">
        <v>193</v>
      </c>
      <c r="D31" s="252">
        <v>2</v>
      </c>
      <c r="E31" s="253" t="s">
        <v>194</v>
      </c>
      <c r="F31" s="254" t="s">
        <v>212</v>
      </c>
      <c r="G31" s="255"/>
      <c r="H31" s="695">
        <f>výdavky!E82</f>
        <v>2980</v>
      </c>
      <c r="I31" s="361">
        <f>výdavky!F82</f>
        <v>3756</v>
      </c>
      <c r="J31" s="227">
        <f>výdavky!G82</f>
        <v>3160</v>
      </c>
      <c r="K31" s="475">
        <f>výdavky!I82</f>
        <v>3160</v>
      </c>
      <c r="L31" s="695">
        <f>výdavky!J82</f>
        <v>3200</v>
      </c>
      <c r="M31" s="361">
        <f>výdavky!K82</f>
        <v>3300</v>
      </c>
      <c r="N31" s="227">
        <f>výdavky!L82</f>
        <v>3400</v>
      </c>
    </row>
    <row r="32" spans="1:14" s="242" customFormat="1" x14ac:dyDescent="0.2">
      <c r="A32" s="183">
        <v>26</v>
      </c>
      <c r="B32" s="241"/>
      <c r="C32" s="247" t="s">
        <v>207</v>
      </c>
      <c r="D32" s="248">
        <v>3</v>
      </c>
      <c r="E32" s="249" t="s">
        <v>208</v>
      </c>
      <c r="F32" s="250" t="s">
        <v>212</v>
      </c>
      <c r="G32" s="251"/>
      <c r="H32" s="694">
        <f>výdavky!E85</f>
        <v>205</v>
      </c>
      <c r="I32" s="360">
        <f>výdavky!F85</f>
        <v>67</v>
      </c>
      <c r="J32" s="222">
        <f>výdavky!G85</f>
        <v>500</v>
      </c>
      <c r="K32" s="686">
        <f>výdavky!I85</f>
        <v>500</v>
      </c>
      <c r="L32" s="694">
        <f>výdavky!J85</f>
        <v>500</v>
      </c>
      <c r="M32" s="360">
        <f>výdavky!K85</f>
        <v>500</v>
      </c>
      <c r="N32" s="222">
        <f>výdavky!L85</f>
        <v>500</v>
      </c>
    </row>
    <row r="33" spans="1:14" s="242" customFormat="1" x14ac:dyDescent="0.2">
      <c r="A33" s="183">
        <v>27</v>
      </c>
      <c r="B33" s="241"/>
      <c r="C33" s="247" t="s">
        <v>207</v>
      </c>
      <c r="D33" s="252">
        <v>4</v>
      </c>
      <c r="E33" s="253" t="s">
        <v>514</v>
      </c>
      <c r="F33" s="256"/>
      <c r="G33" s="255"/>
      <c r="H33" s="695">
        <f>výdavky!E83</f>
        <v>0</v>
      </c>
      <c r="I33" s="361">
        <f>výdavky!F83</f>
        <v>0</v>
      </c>
      <c r="J33" s="227">
        <f>výdavky!G83</f>
        <v>100</v>
      </c>
      <c r="K33" s="475">
        <f>výdavky!I83</f>
        <v>100</v>
      </c>
      <c r="L33" s="695">
        <f>výdavky!J83</f>
        <v>100</v>
      </c>
      <c r="M33" s="361">
        <f>výdavky!K83</f>
        <v>100</v>
      </c>
      <c r="N33" s="227">
        <f>výdavky!L83</f>
        <v>100</v>
      </c>
    </row>
    <row r="34" spans="1:14" s="242" customFormat="1" x14ac:dyDescent="0.2">
      <c r="A34" s="183">
        <v>28</v>
      </c>
      <c r="B34" s="241"/>
      <c r="C34" s="247" t="s">
        <v>207</v>
      </c>
      <c r="D34" s="223">
        <v>5</v>
      </c>
      <c r="E34" s="253" t="s">
        <v>213</v>
      </c>
      <c r="F34" s="256"/>
      <c r="G34" s="257">
        <f>ROUND(M34/30.126,1)</f>
        <v>116.2</v>
      </c>
      <c r="H34" s="766">
        <f>výdavky!E86</f>
        <v>4343</v>
      </c>
      <c r="I34" s="896">
        <f>výdavky!F86+výdavky!F75</f>
        <v>3055</v>
      </c>
      <c r="J34" s="258">
        <f>výdavky!G86+výdavky!G75</f>
        <v>3500</v>
      </c>
      <c r="K34" s="1075">
        <f>výdavky!I86</f>
        <v>3500</v>
      </c>
      <c r="L34" s="766">
        <f>výdavky!J86</f>
        <v>3500</v>
      </c>
      <c r="M34" s="896">
        <f>výdavky!K86</f>
        <v>3500</v>
      </c>
      <c r="N34" s="258">
        <f>výdavky!L86</f>
        <v>3500</v>
      </c>
    </row>
    <row r="35" spans="1:14" x14ac:dyDescent="0.2">
      <c r="A35" s="183">
        <f t="shared" ref="A35:A51" si="8">A34+1</f>
        <v>29</v>
      </c>
      <c r="B35" s="188">
        <v>2</v>
      </c>
      <c r="C35" s="189" t="s">
        <v>214</v>
      </c>
      <c r="D35" s="190"/>
      <c r="E35" s="190"/>
      <c r="F35" s="191"/>
      <c r="G35" s="192">
        <f>G37</f>
        <v>192.5</v>
      </c>
      <c r="H35" s="691">
        <f>H36</f>
        <v>13030</v>
      </c>
      <c r="I35" s="362">
        <f t="shared" ref="I35:N36" si="9">I36</f>
        <v>4518</v>
      </c>
      <c r="J35" s="194">
        <f>J36</f>
        <v>5800</v>
      </c>
      <c r="K35" s="468">
        <f t="shared" si="9"/>
        <v>5800</v>
      </c>
      <c r="L35" s="691">
        <f t="shared" si="9"/>
        <v>5800</v>
      </c>
      <c r="M35" s="362">
        <f t="shared" si="9"/>
        <v>5800</v>
      </c>
      <c r="N35" s="194">
        <f t="shared" si="9"/>
        <v>5800</v>
      </c>
    </row>
    <row r="36" spans="1:14" x14ac:dyDescent="0.2">
      <c r="A36" s="183">
        <f t="shared" si="8"/>
        <v>30</v>
      </c>
      <c r="B36" s="203"/>
      <c r="C36" s="204"/>
      <c r="D36" s="185" t="s">
        <v>182</v>
      </c>
      <c r="E36" s="205"/>
      <c r="F36" s="206"/>
      <c r="G36" s="207">
        <f>G37</f>
        <v>192.5</v>
      </c>
      <c r="H36" s="692">
        <f>H37</f>
        <v>13030</v>
      </c>
      <c r="I36" s="359">
        <f t="shared" si="9"/>
        <v>4518</v>
      </c>
      <c r="J36" s="208">
        <f>J37</f>
        <v>5800</v>
      </c>
      <c r="K36" s="470">
        <f t="shared" si="9"/>
        <v>5800</v>
      </c>
      <c r="L36" s="692">
        <f t="shared" si="9"/>
        <v>5800</v>
      </c>
      <c r="M36" s="359">
        <f t="shared" si="9"/>
        <v>5800</v>
      </c>
      <c r="N36" s="208">
        <f t="shared" si="9"/>
        <v>5800</v>
      </c>
    </row>
    <row r="37" spans="1:14" x14ac:dyDescent="0.2">
      <c r="A37" s="183">
        <f t="shared" si="8"/>
        <v>31</v>
      </c>
      <c r="B37" s="236"/>
      <c r="C37" s="243" t="s">
        <v>189</v>
      </c>
      <c r="D37" s="244" t="s">
        <v>190</v>
      </c>
      <c r="E37" s="212"/>
      <c r="F37" s="213"/>
      <c r="G37" s="259">
        <f>SUM(G38)</f>
        <v>192.5</v>
      </c>
      <c r="H37" s="697">
        <f>H38+H39</f>
        <v>13030</v>
      </c>
      <c r="I37" s="897">
        <f>SUM(I38:I39)</f>
        <v>4518</v>
      </c>
      <c r="J37" s="260">
        <f>J38+J39</f>
        <v>5800</v>
      </c>
      <c r="K37" s="687">
        <f>SUM(K38:K39)</f>
        <v>5800</v>
      </c>
      <c r="L37" s="697">
        <f>SUM(L38:L39)</f>
        <v>5800</v>
      </c>
      <c r="M37" s="897">
        <f>SUM(M38:M39)</f>
        <v>5800</v>
      </c>
      <c r="N37" s="260">
        <f>SUM(N38:N39)</f>
        <v>5800</v>
      </c>
    </row>
    <row r="38" spans="1:14" x14ac:dyDescent="0.2">
      <c r="A38" s="183">
        <f t="shared" si="8"/>
        <v>32</v>
      </c>
      <c r="B38" s="241"/>
      <c r="C38" s="247" t="s">
        <v>215</v>
      </c>
      <c r="D38" s="261" t="s">
        <v>216</v>
      </c>
      <c r="E38" s="219" t="s">
        <v>217</v>
      </c>
      <c r="F38" s="262"/>
      <c r="G38" s="263">
        <f>ROUND(M38/30.126,1)</f>
        <v>192.5</v>
      </c>
      <c r="H38" s="1045">
        <f>výdavky!E74</f>
        <v>9334</v>
      </c>
      <c r="I38" s="898">
        <f>výdavky!F74</f>
        <v>4518</v>
      </c>
      <c r="J38" s="264">
        <f>výdavky!G74</f>
        <v>5800</v>
      </c>
      <c r="K38" s="1076">
        <f>výdavky!I74</f>
        <v>5800</v>
      </c>
      <c r="L38" s="1045">
        <f>výdavky!J74</f>
        <v>5800</v>
      </c>
      <c r="M38" s="898">
        <f>výdavky!K74</f>
        <v>5800</v>
      </c>
      <c r="N38" s="264">
        <f>výdavky!L74</f>
        <v>5800</v>
      </c>
    </row>
    <row r="39" spans="1:14" x14ac:dyDescent="0.2">
      <c r="A39" s="183">
        <f t="shared" si="8"/>
        <v>33</v>
      </c>
      <c r="B39" s="241"/>
      <c r="C39" s="265" t="s">
        <v>215</v>
      </c>
      <c r="D39" s="266" t="s">
        <v>218</v>
      </c>
      <c r="E39" s="228" t="s">
        <v>219</v>
      </c>
      <c r="F39" s="234"/>
      <c r="G39" s="257"/>
      <c r="H39" s="766">
        <f>výdavky!E72+výdavky!E73</f>
        <v>3696</v>
      </c>
      <c r="I39" s="896">
        <f>SUM(výdavky!F72)+výdavky!EF3</f>
        <v>0</v>
      </c>
      <c r="J39" s="258">
        <f>výdavky!F72+výdavky!F73</f>
        <v>0</v>
      </c>
      <c r="K39" s="1075">
        <f>výdavky!I72+výdavky!I73</f>
        <v>0</v>
      </c>
      <c r="L39" s="766">
        <f>výdavky!J72+výdavky!J73</f>
        <v>0</v>
      </c>
      <c r="M39" s="896">
        <f>výdavky!K72+výdavky!K73</f>
        <v>0</v>
      </c>
      <c r="N39" s="258">
        <f>výdavky!L72+výdavky!L73</f>
        <v>0</v>
      </c>
    </row>
    <row r="40" spans="1:14" x14ac:dyDescent="0.2">
      <c r="A40" s="183">
        <f t="shared" si="8"/>
        <v>34</v>
      </c>
      <c r="B40" s="188">
        <v>3</v>
      </c>
      <c r="C40" s="189" t="s">
        <v>220</v>
      </c>
      <c r="D40" s="190"/>
      <c r="E40" s="190"/>
      <c r="F40" s="191"/>
      <c r="G40" s="192">
        <f>G42</f>
        <v>249</v>
      </c>
      <c r="H40" s="691">
        <f>H41+H49</f>
        <v>5639373</v>
      </c>
      <c r="I40" s="362">
        <f>SUM(I41+I49)</f>
        <v>2765676</v>
      </c>
      <c r="J40" s="194">
        <f>J41+J49</f>
        <v>1142230</v>
      </c>
      <c r="K40" s="468">
        <f>SUM(K41+K49)</f>
        <v>1167254</v>
      </c>
      <c r="L40" s="1510">
        <f>SUM(L41+L49)</f>
        <v>139792</v>
      </c>
      <c r="M40" s="1511">
        <f>SUM(M41+M49)</f>
        <v>138000</v>
      </c>
      <c r="N40" s="194">
        <f>SUM(N41+N49)</f>
        <v>126500</v>
      </c>
    </row>
    <row r="41" spans="1:14" x14ac:dyDescent="0.2">
      <c r="A41" s="183">
        <f t="shared" si="8"/>
        <v>35</v>
      </c>
      <c r="B41" s="203"/>
      <c r="C41" s="204"/>
      <c r="D41" s="185" t="s">
        <v>182</v>
      </c>
      <c r="E41" s="205"/>
      <c r="F41" s="206"/>
      <c r="G41" s="207">
        <f>G42</f>
        <v>249</v>
      </c>
      <c r="H41" s="692">
        <f>H42+H44</f>
        <v>17569</v>
      </c>
      <c r="I41" s="359">
        <f>SUM(I42+I44)</f>
        <v>20989</v>
      </c>
      <c r="J41" s="208">
        <f>J42+J44</f>
        <v>15500</v>
      </c>
      <c r="K41" s="470">
        <f>SUM(K42+K44)</f>
        <v>16900</v>
      </c>
      <c r="L41" s="692">
        <f>SUM(L42+L44)</f>
        <v>14500</v>
      </c>
      <c r="M41" s="359">
        <f>SUM(M42+M44)</f>
        <v>13000</v>
      </c>
      <c r="N41" s="208">
        <f>SUM(N42+N44)</f>
        <v>11500</v>
      </c>
    </row>
    <row r="42" spans="1:14" x14ac:dyDescent="0.2">
      <c r="A42" s="183">
        <f t="shared" si="8"/>
        <v>36</v>
      </c>
      <c r="B42" s="209"/>
      <c r="C42" s="210" t="s">
        <v>221</v>
      </c>
      <c r="D42" s="211" t="s">
        <v>222</v>
      </c>
      <c r="E42" s="212"/>
      <c r="F42" s="213"/>
      <c r="G42" s="214">
        <f>SUM(G43:G43)</f>
        <v>249</v>
      </c>
      <c r="H42" s="693">
        <f t="shared" ref="H42:N42" si="10">H43</f>
        <v>12569</v>
      </c>
      <c r="I42" s="392">
        <f t="shared" si="10"/>
        <v>14989</v>
      </c>
      <c r="J42" s="215">
        <f t="shared" si="10"/>
        <v>10000</v>
      </c>
      <c r="K42" s="330">
        <f t="shared" si="10"/>
        <v>11600</v>
      </c>
      <c r="L42" s="693">
        <f t="shared" si="10"/>
        <v>10000</v>
      </c>
      <c r="M42" s="392">
        <f t="shared" si="10"/>
        <v>7500</v>
      </c>
      <c r="N42" s="215">
        <f t="shared" si="10"/>
        <v>6000</v>
      </c>
    </row>
    <row r="43" spans="1:14" x14ac:dyDescent="0.2">
      <c r="A43" s="183">
        <f t="shared" si="8"/>
        <v>37</v>
      </c>
      <c r="B43" s="209"/>
      <c r="C43" s="267" t="s">
        <v>223</v>
      </c>
      <c r="D43" s="261" t="s">
        <v>216</v>
      </c>
      <c r="E43" s="249" t="s">
        <v>224</v>
      </c>
      <c r="F43" s="250"/>
      <c r="G43" s="268">
        <f>ROUND(M43/30.126,1)</f>
        <v>249</v>
      </c>
      <c r="H43" s="694">
        <f>výdavky!E78</f>
        <v>12569</v>
      </c>
      <c r="I43" s="360">
        <f>výdavky!F78</f>
        <v>14989</v>
      </c>
      <c r="J43" s="222">
        <f>výdavky!G78</f>
        <v>10000</v>
      </c>
      <c r="K43" s="686">
        <f>výdavky!I78</f>
        <v>11600</v>
      </c>
      <c r="L43" s="694">
        <f>výdavky!J78</f>
        <v>10000</v>
      </c>
      <c r="M43" s="360">
        <f>výdavky!K78</f>
        <v>7500</v>
      </c>
      <c r="N43" s="222">
        <f>výdavky!L78</f>
        <v>6000</v>
      </c>
    </row>
    <row r="44" spans="1:14" x14ac:dyDescent="0.2">
      <c r="A44" s="183">
        <f t="shared" si="8"/>
        <v>38</v>
      </c>
      <c r="B44" s="209"/>
      <c r="C44" s="210" t="s">
        <v>225</v>
      </c>
      <c r="D44" s="211" t="s">
        <v>226</v>
      </c>
      <c r="E44" s="212"/>
      <c r="F44" s="213"/>
      <c r="G44" s="214">
        <f>SUM(G45:G45)</f>
        <v>0</v>
      </c>
      <c r="H44" s="1034">
        <f t="shared" ref="H44:N44" si="11">SUM(H45:H48)</f>
        <v>5000</v>
      </c>
      <c r="I44" s="392">
        <f t="shared" si="11"/>
        <v>6000</v>
      </c>
      <c r="J44" s="215">
        <f t="shared" si="11"/>
        <v>5500</v>
      </c>
      <c r="K44" s="330">
        <f t="shared" si="11"/>
        <v>5300</v>
      </c>
      <c r="L44" s="693">
        <f t="shared" si="11"/>
        <v>4500</v>
      </c>
      <c r="M44" s="392">
        <f t="shared" si="11"/>
        <v>5500</v>
      </c>
      <c r="N44" s="215">
        <f t="shared" si="11"/>
        <v>5500</v>
      </c>
    </row>
    <row r="45" spans="1:14" x14ac:dyDescent="0.2">
      <c r="A45" s="183">
        <f t="shared" si="8"/>
        <v>39</v>
      </c>
      <c r="B45" s="209"/>
      <c r="C45" s="267" t="s">
        <v>227</v>
      </c>
      <c r="D45" s="261" t="s">
        <v>218</v>
      </c>
      <c r="E45" s="219" t="s">
        <v>228</v>
      </c>
      <c r="F45" s="262"/>
      <c r="G45" s="268">
        <f>ROUND(M45/30.126,1)</f>
        <v>0</v>
      </c>
      <c r="H45" s="694">
        <f>výdavky!E79</f>
        <v>0</v>
      </c>
      <c r="I45" s="360">
        <f>výdavky!F79</f>
        <v>0</v>
      </c>
      <c r="J45" s="222">
        <v>0</v>
      </c>
      <c r="K45" s="686">
        <v>0</v>
      </c>
      <c r="L45" s="694">
        <v>0</v>
      </c>
      <c r="M45" s="360">
        <v>0</v>
      </c>
      <c r="N45" s="222">
        <v>0</v>
      </c>
    </row>
    <row r="46" spans="1:14" x14ac:dyDescent="0.2">
      <c r="A46" s="183">
        <f t="shared" si="8"/>
        <v>40</v>
      </c>
      <c r="B46" s="209"/>
      <c r="C46" s="267" t="s">
        <v>227</v>
      </c>
      <c r="D46" s="266" t="s">
        <v>229</v>
      </c>
      <c r="E46" s="228" t="s">
        <v>230</v>
      </c>
      <c r="F46" s="234"/>
      <c r="G46" s="235">
        <f>ROUND(M46/30.126,1)</f>
        <v>182.6</v>
      </c>
      <c r="H46" s="695">
        <f>výdavky!E87</f>
        <v>5000</v>
      </c>
      <c r="I46" s="361">
        <f>SUM(výdavky!F87)</f>
        <v>6000</v>
      </c>
      <c r="J46" s="227">
        <f>výdavky!G87</f>
        <v>5500</v>
      </c>
      <c r="K46" s="475">
        <f>výdavky!I87</f>
        <v>4500</v>
      </c>
      <c r="L46" s="695">
        <f>výdavky!J87</f>
        <v>4500</v>
      </c>
      <c r="M46" s="361">
        <f>výdavky!K87</f>
        <v>5500</v>
      </c>
      <c r="N46" s="227">
        <f>výdavky!L87</f>
        <v>5500</v>
      </c>
    </row>
    <row r="47" spans="1:14" s="272" customFormat="1" ht="11.25" x14ac:dyDescent="0.2">
      <c r="A47" s="183">
        <f t="shared" si="8"/>
        <v>41</v>
      </c>
      <c r="B47" s="269"/>
      <c r="C47" s="267" t="s">
        <v>227</v>
      </c>
      <c r="D47" s="261" t="s">
        <v>231</v>
      </c>
      <c r="E47" s="270" t="s">
        <v>232</v>
      </c>
      <c r="F47" s="269"/>
      <c r="G47" s="269"/>
      <c r="H47" s="1058">
        <v>0</v>
      </c>
      <c r="I47" s="375">
        <v>0</v>
      </c>
      <c r="J47" s="271">
        <v>0</v>
      </c>
      <c r="K47" s="1077">
        <v>0</v>
      </c>
      <c r="L47" s="904">
        <v>0</v>
      </c>
      <c r="M47" s="375">
        <v>0</v>
      </c>
      <c r="N47" s="271">
        <v>0</v>
      </c>
    </row>
    <row r="48" spans="1:14" s="272" customFormat="1" ht="11.25" x14ac:dyDescent="0.2">
      <c r="A48" s="183">
        <f t="shared" si="8"/>
        <v>42</v>
      </c>
      <c r="B48" s="269"/>
      <c r="C48" s="267" t="s">
        <v>227</v>
      </c>
      <c r="D48" s="266" t="s">
        <v>233</v>
      </c>
      <c r="E48" s="273" t="s">
        <v>234</v>
      </c>
      <c r="F48" s="274"/>
      <c r="G48" s="274"/>
      <c r="H48" s="1039">
        <f>výdavky!E79</f>
        <v>0</v>
      </c>
      <c r="I48" s="909">
        <f>výdavky!E79</f>
        <v>0</v>
      </c>
      <c r="J48" s="869">
        <f>výdavky!G79</f>
        <v>0</v>
      </c>
      <c r="K48" s="3301">
        <f>výdavky!I79</f>
        <v>800</v>
      </c>
      <c r="L48" s="905">
        <f>výdavky!J79</f>
        <v>0</v>
      </c>
      <c r="M48" s="408">
        <f>výdavky!K79</f>
        <v>0</v>
      </c>
      <c r="N48" s="275">
        <f>výdavky!L79</f>
        <v>0</v>
      </c>
    </row>
    <row r="49" spans="1:14" x14ac:dyDescent="0.2">
      <c r="A49" s="183">
        <f t="shared" si="8"/>
        <v>43</v>
      </c>
      <c r="B49" s="209"/>
      <c r="C49" s="276"/>
      <c r="D49" s="862" t="s">
        <v>235</v>
      </c>
      <c r="E49" s="863"/>
      <c r="F49" s="864"/>
      <c r="G49" s="865" t="e">
        <f t="shared" ref="G49:N49" si="12">G50</f>
        <v>#REF!</v>
      </c>
      <c r="H49" s="1051">
        <f>H50</f>
        <v>5621804</v>
      </c>
      <c r="I49" s="899">
        <f t="shared" si="12"/>
        <v>2744687</v>
      </c>
      <c r="J49" s="866">
        <f>J50</f>
        <v>1126730</v>
      </c>
      <c r="K49" s="1078">
        <f t="shared" si="12"/>
        <v>1150354</v>
      </c>
      <c r="L49" s="1051">
        <f t="shared" si="12"/>
        <v>125292</v>
      </c>
      <c r="M49" s="899">
        <f t="shared" si="12"/>
        <v>125000</v>
      </c>
      <c r="N49" s="866">
        <f t="shared" si="12"/>
        <v>115000</v>
      </c>
    </row>
    <row r="50" spans="1:14" x14ac:dyDescent="0.2">
      <c r="A50" s="183">
        <f t="shared" si="8"/>
        <v>44</v>
      </c>
      <c r="B50" s="209"/>
      <c r="C50" s="210" t="s">
        <v>189</v>
      </c>
      <c r="D50" s="211" t="s">
        <v>226</v>
      </c>
      <c r="E50" s="212"/>
      <c r="F50" s="213"/>
      <c r="G50" s="277" t="e">
        <f>SUM(#REF!)</f>
        <v>#REF!</v>
      </c>
      <c r="H50" s="1064">
        <f>H51+H53</f>
        <v>5621804</v>
      </c>
      <c r="I50" s="900">
        <f>SUM(I51:I53)</f>
        <v>2744687</v>
      </c>
      <c r="J50" s="278">
        <f>J51+J53+J52</f>
        <v>1126730</v>
      </c>
      <c r="K50" s="474">
        <f>SUM(K51:K53)</f>
        <v>1150354</v>
      </c>
      <c r="L50" s="1064">
        <f>SUM(L51:L53)</f>
        <v>125292</v>
      </c>
      <c r="M50" s="900">
        <f>SUM(M51:M53)</f>
        <v>125000</v>
      </c>
      <c r="N50" s="278">
        <f>SUM(N51:N53)</f>
        <v>115000</v>
      </c>
    </row>
    <row r="51" spans="1:14" s="272" customFormat="1" ht="11.25" x14ac:dyDescent="0.2">
      <c r="A51" s="183">
        <f t="shared" si="8"/>
        <v>45</v>
      </c>
      <c r="B51" s="209"/>
      <c r="C51" s="217" t="s">
        <v>236</v>
      </c>
      <c r="D51" s="1995" t="s">
        <v>237</v>
      </c>
      <c r="E51" s="845" t="s">
        <v>996</v>
      </c>
      <c r="F51" s="1996"/>
      <c r="G51" s="1997"/>
      <c r="H51" s="1998">
        <f>výdavky!E776+výdavky!E777</f>
        <v>3232</v>
      </c>
      <c r="I51" s="1999">
        <f>výdavky!F776+výdavky!F775</f>
        <v>67527</v>
      </c>
      <c r="J51" s="2000">
        <f>výdavky!G776</f>
        <v>0</v>
      </c>
      <c r="K51" s="2001">
        <f>výdavky!I776</f>
        <v>400</v>
      </c>
      <c r="L51" s="1998">
        <f>výdavky!J776</f>
        <v>0</v>
      </c>
      <c r="M51" s="1999">
        <f>výdavky!K776</f>
        <v>0</v>
      </c>
      <c r="N51" s="2000">
        <f>výdavky!L776</f>
        <v>0</v>
      </c>
    </row>
    <row r="52" spans="1:14" s="272" customFormat="1" ht="11.25" x14ac:dyDescent="0.2">
      <c r="A52" s="183">
        <v>46</v>
      </c>
      <c r="B52" s="209"/>
      <c r="C52" s="217" t="s">
        <v>812</v>
      </c>
      <c r="D52" s="261" t="s">
        <v>239</v>
      </c>
      <c r="E52" s="249" t="s">
        <v>813</v>
      </c>
      <c r="F52" s="279"/>
      <c r="G52" s="280"/>
      <c r="H52" s="1062">
        <f>výdavky!E778</f>
        <v>0</v>
      </c>
      <c r="I52" s="901">
        <f>výdavky!F778+výdavky!F777</f>
        <v>20</v>
      </c>
      <c r="J52" s="281">
        <f>výdavky!G778</f>
        <v>15000</v>
      </c>
      <c r="K52" s="1079">
        <f>výdavky!I778</f>
        <v>38700</v>
      </c>
      <c r="L52" s="1062">
        <f>výdavky!J778</f>
        <v>38700</v>
      </c>
      <c r="M52" s="901">
        <f>výdavky!K778</f>
        <v>30000</v>
      </c>
      <c r="N52" s="281">
        <f>výdavky!L778</f>
        <v>20000</v>
      </c>
    </row>
    <row r="53" spans="1:14" s="272" customFormat="1" ht="11.25" x14ac:dyDescent="0.2">
      <c r="A53" s="183">
        <v>47</v>
      </c>
      <c r="B53" s="209"/>
      <c r="C53" s="217" t="s">
        <v>238</v>
      </c>
      <c r="D53" s="266" t="s">
        <v>267</v>
      </c>
      <c r="E53" s="253" t="s">
        <v>240</v>
      </c>
      <c r="F53" s="256"/>
      <c r="G53" s="282"/>
      <c r="H53" s="1063">
        <f>výdavky!E781+výdavky!E780+výdavky!E779</f>
        <v>5618572</v>
      </c>
      <c r="I53" s="902">
        <f>výdavky!F781+výdavky!F780</f>
        <v>2677140</v>
      </c>
      <c r="J53" s="283">
        <f>výdavky!G781+výdavky!G780</f>
        <v>1111730</v>
      </c>
      <c r="K53" s="1080">
        <f>výdavky!I780+výdavky!I781</f>
        <v>1111254</v>
      </c>
      <c r="L53" s="1063">
        <f>výdavky!J781+výdavky!J780</f>
        <v>86592</v>
      </c>
      <c r="M53" s="902">
        <f>výdavky!K781</f>
        <v>95000</v>
      </c>
      <c r="N53" s="283">
        <f>výdavky!L781</f>
        <v>95000</v>
      </c>
    </row>
    <row r="54" spans="1:14" x14ac:dyDescent="0.2">
      <c r="A54" s="183">
        <v>48</v>
      </c>
      <c r="B54" s="284">
        <v>4</v>
      </c>
      <c r="C54" s="285" t="s">
        <v>241</v>
      </c>
      <c r="D54" s="190"/>
      <c r="E54" s="190"/>
      <c r="F54" s="191"/>
      <c r="G54" s="192">
        <f>SUM(G56)</f>
        <v>644.00000000000011</v>
      </c>
      <c r="H54" s="691">
        <f>H55</f>
        <v>16613</v>
      </c>
      <c r="I54" s="362">
        <f>SUM(I55)</f>
        <v>18401</v>
      </c>
      <c r="J54" s="194">
        <f>J55</f>
        <v>18140</v>
      </c>
      <c r="K54" s="468">
        <f>SUM(K55)</f>
        <v>20140</v>
      </c>
      <c r="L54" s="691">
        <f>SUM(L55)</f>
        <v>22120</v>
      </c>
      <c r="M54" s="362">
        <f>SUM(M55)</f>
        <v>19400</v>
      </c>
      <c r="N54" s="194">
        <f>SUM(N55)</f>
        <v>20120</v>
      </c>
    </row>
    <row r="55" spans="1:14" x14ac:dyDescent="0.2">
      <c r="A55" s="183">
        <v>49</v>
      </c>
      <c r="B55" s="286"/>
      <c r="C55" s="276"/>
      <c r="D55" s="185" t="s">
        <v>182</v>
      </c>
      <c r="E55" s="205"/>
      <c r="F55" s="206"/>
      <c r="G55" s="207">
        <f t="shared" ref="G55:N55" si="13">G56</f>
        <v>644.00000000000011</v>
      </c>
      <c r="H55" s="692">
        <f>H56</f>
        <v>16613</v>
      </c>
      <c r="I55" s="359">
        <f t="shared" si="13"/>
        <v>18401</v>
      </c>
      <c r="J55" s="208">
        <f>J56</f>
        <v>18140</v>
      </c>
      <c r="K55" s="470">
        <f t="shared" si="13"/>
        <v>20140</v>
      </c>
      <c r="L55" s="692">
        <f t="shared" si="13"/>
        <v>22120</v>
      </c>
      <c r="M55" s="359">
        <f t="shared" si="13"/>
        <v>19400</v>
      </c>
      <c r="N55" s="208">
        <f t="shared" si="13"/>
        <v>20120</v>
      </c>
    </row>
    <row r="56" spans="1:14" x14ac:dyDescent="0.2">
      <c r="A56" s="183">
        <f t="shared" ref="A56:A62" si="14">A55+1</f>
        <v>50</v>
      </c>
      <c r="B56" s="209"/>
      <c r="C56" s="287" t="s">
        <v>242</v>
      </c>
      <c r="D56" s="244" t="s">
        <v>243</v>
      </c>
      <c r="E56" s="212"/>
      <c r="F56" s="213"/>
      <c r="G56" s="246">
        <f>SUM(G57:G62)</f>
        <v>644.00000000000011</v>
      </c>
      <c r="H56" s="693">
        <f>SUM(H57:H62)</f>
        <v>16613</v>
      </c>
      <c r="I56" s="392">
        <f>I57+I58+I59+I60+I61+I62</f>
        <v>18401</v>
      </c>
      <c r="J56" s="215">
        <f>SUM(J57:J62)</f>
        <v>18140</v>
      </c>
      <c r="K56" s="330">
        <f>SUM(K57:K62)</f>
        <v>20140</v>
      </c>
      <c r="L56" s="693">
        <f>SUM(L57:L62)</f>
        <v>22120</v>
      </c>
      <c r="M56" s="392">
        <f>SUM(M57:M62)</f>
        <v>19400</v>
      </c>
      <c r="N56" s="215">
        <f>SUM(N57:N62)</f>
        <v>20120</v>
      </c>
    </row>
    <row r="57" spans="1:14" x14ac:dyDescent="0.2">
      <c r="A57" s="183">
        <f t="shared" si="14"/>
        <v>51</v>
      </c>
      <c r="B57" s="209"/>
      <c r="C57" s="267" t="s">
        <v>191</v>
      </c>
      <c r="D57" s="261" t="s">
        <v>216</v>
      </c>
      <c r="E57" s="219" t="s">
        <v>244</v>
      </c>
      <c r="F57" s="262"/>
      <c r="G57" s="268">
        <f t="shared" ref="G57:G62" si="15">ROUND(M57/30.126,1)</f>
        <v>481.3</v>
      </c>
      <c r="H57" s="694">
        <f>výdavky!E90</f>
        <v>12133</v>
      </c>
      <c r="I57" s="360">
        <f>výdavky!F90</f>
        <v>14010</v>
      </c>
      <c r="J57" s="222">
        <f>výdavky!G90</f>
        <v>13400</v>
      </c>
      <c r="K57" s="686">
        <f>výdavky!I90+výdavky!I100</f>
        <v>15400</v>
      </c>
      <c r="L57" s="694">
        <f>výdavky!J90+výdavky!J100</f>
        <v>17300</v>
      </c>
      <c r="M57" s="360">
        <f>výdavky!K90</f>
        <v>14500</v>
      </c>
      <c r="N57" s="222">
        <f>výdavky!L90</f>
        <v>15000</v>
      </c>
    </row>
    <row r="58" spans="1:14" x14ac:dyDescent="0.2">
      <c r="A58" s="183">
        <f t="shared" si="14"/>
        <v>52</v>
      </c>
      <c r="B58" s="209"/>
      <c r="C58" s="267" t="s">
        <v>193</v>
      </c>
      <c r="D58" s="266" t="s">
        <v>218</v>
      </c>
      <c r="E58" s="228" t="s">
        <v>245</v>
      </c>
      <c r="F58" s="234"/>
      <c r="G58" s="235">
        <f t="shared" si="15"/>
        <v>143.69999999999999</v>
      </c>
      <c r="H58" s="695">
        <f>výdavky!E92+výdavky!E93</f>
        <v>3933</v>
      </c>
      <c r="I58" s="361">
        <f>výdavky!F92</f>
        <v>4198</v>
      </c>
      <c r="J58" s="227">
        <f>výdavky!G92+výdavky!G93</f>
        <v>4170</v>
      </c>
      <c r="K58" s="475">
        <f>výdavky!I92</f>
        <v>4170</v>
      </c>
      <c r="L58" s="695">
        <f>výdavky!J92</f>
        <v>4250</v>
      </c>
      <c r="M58" s="361">
        <f>výdavky!K92</f>
        <v>4330</v>
      </c>
      <c r="N58" s="227">
        <f>výdavky!L92</f>
        <v>4550</v>
      </c>
    </row>
    <row r="59" spans="1:14" x14ac:dyDescent="0.2">
      <c r="A59" s="183">
        <f t="shared" si="14"/>
        <v>53</v>
      </c>
      <c r="B59" s="209"/>
      <c r="C59" s="267" t="s">
        <v>227</v>
      </c>
      <c r="D59" s="261" t="s">
        <v>229</v>
      </c>
      <c r="E59" s="219" t="s">
        <v>246</v>
      </c>
      <c r="F59" s="262"/>
      <c r="G59" s="268">
        <f t="shared" si="15"/>
        <v>0.7</v>
      </c>
      <c r="H59" s="694">
        <f>výdavky!E94</f>
        <v>3</v>
      </c>
      <c r="I59" s="360">
        <f>výdavky!F94</f>
        <v>4</v>
      </c>
      <c r="J59" s="222">
        <f>výdavky!G94</f>
        <v>20</v>
      </c>
      <c r="K59" s="686">
        <f>výdavky!I94</f>
        <v>20</v>
      </c>
      <c r="L59" s="694">
        <f>výdavky!J94</f>
        <v>20</v>
      </c>
      <c r="M59" s="360">
        <f>výdavky!K94</f>
        <v>20</v>
      </c>
      <c r="N59" s="222">
        <f>výdavky!L94</f>
        <v>20</v>
      </c>
    </row>
    <row r="60" spans="1:14" x14ac:dyDescent="0.2">
      <c r="A60" s="183">
        <f t="shared" si="14"/>
        <v>54</v>
      </c>
      <c r="B60" s="209"/>
      <c r="C60" s="267" t="s">
        <v>227</v>
      </c>
      <c r="D60" s="266" t="s">
        <v>231</v>
      </c>
      <c r="E60" s="224" t="s">
        <v>247</v>
      </c>
      <c r="F60" s="254"/>
      <c r="G60" s="235">
        <f t="shared" si="15"/>
        <v>10</v>
      </c>
      <c r="H60" s="695">
        <f>výdavky!E95</f>
        <v>449</v>
      </c>
      <c r="I60" s="361">
        <f>výdavky!F95</f>
        <v>164</v>
      </c>
      <c r="J60" s="227">
        <f>výdavky!G95</f>
        <v>300</v>
      </c>
      <c r="K60" s="475">
        <f>výdavky!I95</f>
        <v>300</v>
      </c>
      <c r="L60" s="695">
        <f>výdavky!J95</f>
        <v>300</v>
      </c>
      <c r="M60" s="361">
        <f>výdavky!K95</f>
        <v>300</v>
      </c>
      <c r="N60" s="227">
        <f>výdavky!L95</f>
        <v>300</v>
      </c>
    </row>
    <row r="61" spans="1:14" x14ac:dyDescent="0.2">
      <c r="A61" s="183">
        <f t="shared" si="14"/>
        <v>55</v>
      </c>
      <c r="B61" s="209"/>
      <c r="C61" s="267" t="s">
        <v>227</v>
      </c>
      <c r="D61" s="261" t="s">
        <v>233</v>
      </c>
      <c r="E61" s="288" t="s">
        <v>484</v>
      </c>
      <c r="F61" s="250"/>
      <c r="G61" s="268">
        <f t="shared" si="15"/>
        <v>1.7</v>
      </c>
      <c r="H61" s="694">
        <f>výdavky!E101</f>
        <v>0</v>
      </c>
      <c r="I61" s="360">
        <f>výdavky!F101</f>
        <v>0</v>
      </c>
      <c r="J61" s="222">
        <f>výdavky!G101</f>
        <v>50</v>
      </c>
      <c r="K61" s="686">
        <f>výdavky!I101</f>
        <v>50</v>
      </c>
      <c r="L61" s="694">
        <f>výdavky!J101</f>
        <v>50</v>
      </c>
      <c r="M61" s="360">
        <f>výdavky!K101</f>
        <v>50</v>
      </c>
      <c r="N61" s="222">
        <f>výdavky!L101</f>
        <v>50</v>
      </c>
    </row>
    <row r="62" spans="1:14" x14ac:dyDescent="0.2">
      <c r="A62" s="183">
        <f t="shared" si="14"/>
        <v>56</v>
      </c>
      <c r="B62" s="209"/>
      <c r="C62" s="267" t="s">
        <v>227</v>
      </c>
      <c r="D62" s="266" t="s">
        <v>237</v>
      </c>
      <c r="E62" s="224" t="s">
        <v>208</v>
      </c>
      <c r="F62" s="254"/>
      <c r="G62" s="235">
        <f t="shared" si="15"/>
        <v>6.6</v>
      </c>
      <c r="H62" s="695">
        <f>výdavky!E99</f>
        <v>95</v>
      </c>
      <c r="I62" s="361">
        <f>výdavky!F99</f>
        <v>25</v>
      </c>
      <c r="J62" s="227">
        <f>výdavky!G99</f>
        <v>200</v>
      </c>
      <c r="K62" s="475">
        <f>výdavky!I99</f>
        <v>200</v>
      </c>
      <c r="L62" s="695">
        <f>výdavky!J99</f>
        <v>200</v>
      </c>
      <c r="M62" s="361">
        <f>výdavky!K99</f>
        <v>200</v>
      </c>
      <c r="N62" s="227">
        <f>výdavky!L99</f>
        <v>200</v>
      </c>
    </row>
    <row r="63" spans="1:14" x14ac:dyDescent="0.2">
      <c r="A63" s="183">
        <v>57</v>
      </c>
      <c r="B63" s="188">
        <v>5</v>
      </c>
      <c r="C63" s="289" t="s">
        <v>248</v>
      </c>
      <c r="D63" s="190"/>
      <c r="E63" s="190"/>
      <c r="F63" s="290"/>
      <c r="G63" s="192">
        <v>0</v>
      </c>
      <c r="H63" s="691">
        <f>H64</f>
        <v>5124</v>
      </c>
      <c r="I63" s="362">
        <f t="shared" ref="I63:N64" si="16">I64</f>
        <v>0</v>
      </c>
      <c r="J63" s="194">
        <f>J64</f>
        <v>1500</v>
      </c>
      <c r="K63" s="468">
        <f t="shared" si="16"/>
        <v>0</v>
      </c>
      <c r="L63" s="691">
        <f t="shared" si="16"/>
        <v>1500</v>
      </c>
      <c r="M63" s="362">
        <f t="shared" si="16"/>
        <v>0</v>
      </c>
      <c r="N63" s="194">
        <f t="shared" si="16"/>
        <v>0</v>
      </c>
    </row>
    <row r="64" spans="1:14" x14ac:dyDescent="0.2">
      <c r="A64" s="183">
        <f>A63+1</f>
        <v>58</v>
      </c>
      <c r="B64" s="203"/>
      <c r="C64" s="204"/>
      <c r="D64" s="186" t="s">
        <v>182</v>
      </c>
      <c r="E64" s="205"/>
      <c r="F64" s="206"/>
      <c r="G64" s="207">
        <f>G65</f>
        <v>0</v>
      </c>
      <c r="H64" s="692">
        <f>H65</f>
        <v>5124</v>
      </c>
      <c r="I64" s="359">
        <f t="shared" si="16"/>
        <v>0</v>
      </c>
      <c r="J64" s="208">
        <f>J65</f>
        <v>1500</v>
      </c>
      <c r="K64" s="470">
        <f t="shared" si="16"/>
        <v>0</v>
      </c>
      <c r="L64" s="692">
        <f t="shared" si="16"/>
        <v>1500</v>
      </c>
      <c r="M64" s="359">
        <f t="shared" si="16"/>
        <v>0</v>
      </c>
      <c r="N64" s="208">
        <f t="shared" si="16"/>
        <v>0</v>
      </c>
    </row>
    <row r="65" spans="1:14" x14ac:dyDescent="0.2">
      <c r="A65" s="183">
        <f>A64+1</f>
        <v>59</v>
      </c>
      <c r="B65" s="203"/>
      <c r="C65" s="291" t="s">
        <v>249</v>
      </c>
      <c r="D65" s="244" t="s">
        <v>250</v>
      </c>
      <c r="E65" s="212"/>
      <c r="F65" s="245"/>
      <c r="G65" s="246">
        <f>SUM(G66:G66)</f>
        <v>0</v>
      </c>
      <c r="H65" s="693">
        <f>H66+H67</f>
        <v>5124</v>
      </c>
      <c r="I65" s="392">
        <f>SUM(I66:I67)</f>
        <v>0</v>
      </c>
      <c r="J65" s="215">
        <f>J66+J67</f>
        <v>1500</v>
      </c>
      <c r="K65" s="330">
        <f>SUM(K66:K67)</f>
        <v>0</v>
      </c>
      <c r="L65" s="693">
        <f>SUM(L66:L67)</f>
        <v>1500</v>
      </c>
      <c r="M65" s="392">
        <f>SUM(M66:M67)</f>
        <v>0</v>
      </c>
      <c r="N65" s="215">
        <f>SUM(N66:N67)</f>
        <v>0</v>
      </c>
    </row>
    <row r="66" spans="1:14" x14ac:dyDescent="0.2">
      <c r="A66" s="183">
        <f>A65+1</f>
        <v>60</v>
      </c>
      <c r="B66" s="203"/>
      <c r="C66" s="292">
        <v>630</v>
      </c>
      <c r="D66" s="252">
        <v>1</v>
      </c>
      <c r="E66" s="293" t="s">
        <v>251</v>
      </c>
      <c r="F66" s="294"/>
      <c r="G66" s="295"/>
      <c r="H66" s="1063">
        <f>výdavky!E10+výdavky!E11</f>
        <v>5124</v>
      </c>
      <c r="I66" s="902">
        <f>SUM(výdavky!F10)+výdavky!F11+výdavky!F16</f>
        <v>0</v>
      </c>
      <c r="J66" s="283">
        <f>výdavky!G10</f>
        <v>1500</v>
      </c>
      <c r="K66" s="1080">
        <f>SUM(výdavky!I10,výdavky!I11,výdavky!I16)</f>
        <v>0</v>
      </c>
      <c r="L66" s="1063">
        <v>0</v>
      </c>
      <c r="M66" s="902">
        <v>0</v>
      </c>
      <c r="N66" s="283">
        <v>0</v>
      </c>
    </row>
    <row r="67" spans="1:14" ht="13.5" thickBot="1" x14ac:dyDescent="0.25">
      <c r="A67" s="296">
        <f>A66+1</f>
        <v>61</v>
      </c>
      <c r="B67" s="297"/>
      <c r="C67" s="298">
        <v>630</v>
      </c>
      <c r="D67" s="299">
        <v>2</v>
      </c>
      <c r="E67" s="300" t="s">
        <v>251</v>
      </c>
      <c r="F67" s="301"/>
      <c r="G67" s="302"/>
      <c r="H67" s="1065"/>
      <c r="I67" s="903">
        <v>0</v>
      </c>
      <c r="J67" s="303"/>
      <c r="K67" s="1081">
        <v>0</v>
      </c>
      <c r="L67" s="1065">
        <f>výdavky!J10</f>
        <v>1500</v>
      </c>
      <c r="M67" s="1771">
        <f>výdavky!K10</f>
        <v>0</v>
      </c>
      <c r="N67" s="303">
        <f>výdavky!L10</f>
        <v>0</v>
      </c>
    </row>
  </sheetData>
  <mergeCells count="2">
    <mergeCell ref="G3:N3"/>
    <mergeCell ref="D4:F6"/>
  </mergeCells>
  <phoneticPr fontId="44" type="noConversion"/>
  <pageMargins left="0.25" right="0.25" top="0.75" bottom="0.75" header="0.3" footer="0.3"/>
  <pageSetup paperSize="9" scale="80" firstPageNumber="0" fitToHeight="0" orientation="portrait" horizontalDpi="300" verticalDpi="300" r:id="rId1"/>
  <headerFooter alignWithMargins="0">
    <oddHeader>&amp;C&amp;"Tahoma,Tučné"&amp;14&amp;KFF0000V Ý D A V K O V Á   Č A S Ť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activeCell="A18" sqref="A18"/>
    </sheetView>
  </sheetViews>
  <sheetFormatPr defaultRowHeight="12.75" x14ac:dyDescent="0.2"/>
  <cols>
    <col min="1" max="1" width="3.5703125" customWidth="1"/>
    <col min="2" max="2" width="4.140625" customWidth="1"/>
    <col min="3" max="3" width="7.5703125" customWidth="1"/>
    <col min="4" max="4" width="3.42578125" customWidth="1"/>
    <col min="5" max="5" width="31.140625" customWidth="1"/>
    <col min="6" max="6" width="11.85546875" customWidth="1"/>
    <col min="7" max="7" width="0" hidden="1" customWidth="1"/>
    <col min="12" max="12" width="8.42578125" customWidth="1"/>
  </cols>
  <sheetData>
    <row r="1" spans="1:14" ht="15.75" x14ac:dyDescent="0.25">
      <c r="A1" s="147"/>
      <c r="B1" s="151" t="s">
        <v>252</v>
      </c>
      <c r="E1" s="151" t="s">
        <v>253</v>
      </c>
      <c r="F1" s="149"/>
      <c r="G1" s="304" t="e">
        <f>G2-G7</f>
        <v>#REF!</v>
      </c>
      <c r="H1" s="304"/>
      <c r="I1" s="304"/>
      <c r="J1" s="304"/>
      <c r="K1" s="304"/>
      <c r="L1" s="305">
        <f>L2-L7</f>
        <v>0</v>
      </c>
      <c r="M1" s="305">
        <f>M2-M7</f>
        <v>0</v>
      </c>
      <c r="N1" s="305">
        <f>N2-N7</f>
        <v>0</v>
      </c>
    </row>
    <row r="2" spans="1:14" ht="15.75" x14ac:dyDescent="0.25">
      <c r="A2" s="147"/>
      <c r="B2" s="151"/>
      <c r="G2" s="306" t="e">
        <f>SUM(G8:G10)</f>
        <v>#REF!</v>
      </c>
      <c r="H2" s="306"/>
      <c r="I2" s="306"/>
      <c r="J2" s="306"/>
      <c r="K2" s="306"/>
      <c r="L2" s="159">
        <f>SUM(L8:L10)</f>
        <v>1220</v>
      </c>
      <c r="M2" s="159">
        <f>SUM(M8:M10)</f>
        <v>1170</v>
      </c>
      <c r="N2" s="159">
        <f>SUM(N8:N10)</f>
        <v>1470</v>
      </c>
    </row>
    <row r="3" spans="1:14" ht="16.5" thickBot="1" x14ac:dyDescent="0.3">
      <c r="A3" s="160"/>
      <c r="B3" s="161"/>
      <c r="C3" s="162"/>
      <c r="D3" s="162"/>
      <c r="E3" s="163"/>
      <c r="F3" s="164"/>
      <c r="G3" s="3713" t="s">
        <v>169</v>
      </c>
      <c r="H3" s="3713"/>
      <c r="I3" s="3713"/>
      <c r="J3" s="3713"/>
      <c r="K3" s="3713"/>
      <c r="L3" s="3713"/>
      <c r="M3" s="3713"/>
      <c r="N3" s="3713"/>
    </row>
    <row r="4" spans="1:14" ht="13.5" thickBot="1" x14ac:dyDescent="0.25">
      <c r="A4" s="165"/>
      <c r="B4" s="166" t="s">
        <v>170</v>
      </c>
      <c r="C4" s="167" t="s">
        <v>171</v>
      </c>
      <c r="D4" s="3716" t="s">
        <v>172</v>
      </c>
      <c r="E4" s="3716"/>
      <c r="F4" s="3716"/>
      <c r="G4" s="168"/>
      <c r="H4" s="890">
        <v>2019</v>
      </c>
      <c r="I4" s="169">
        <v>2020</v>
      </c>
      <c r="J4" s="169" t="s">
        <v>995</v>
      </c>
      <c r="K4" s="169" t="s">
        <v>992</v>
      </c>
      <c r="L4" s="169">
        <v>2022</v>
      </c>
      <c r="M4" s="169">
        <v>2023</v>
      </c>
      <c r="N4" s="169">
        <v>2024</v>
      </c>
    </row>
    <row r="5" spans="1:14" ht="13.5" thickBot="1" x14ac:dyDescent="0.25">
      <c r="A5" s="165"/>
      <c r="B5" s="166" t="s">
        <v>173</v>
      </c>
      <c r="C5" s="167" t="s">
        <v>174</v>
      </c>
      <c r="D5" s="3716"/>
      <c r="E5" s="3716"/>
      <c r="F5" s="3716"/>
      <c r="G5" s="170" t="s">
        <v>175</v>
      </c>
      <c r="H5" s="307" t="s">
        <v>176</v>
      </c>
      <c r="I5" s="307" t="s">
        <v>176</v>
      </c>
      <c r="J5" s="307" t="s">
        <v>176</v>
      </c>
      <c r="K5" s="171" t="s">
        <v>177</v>
      </c>
      <c r="L5" s="171" t="s">
        <v>177</v>
      </c>
      <c r="M5" s="171" t="s">
        <v>177</v>
      </c>
      <c r="N5" s="171" t="s">
        <v>177</v>
      </c>
    </row>
    <row r="6" spans="1:14" ht="13.5" thickBot="1" x14ac:dyDescent="0.25">
      <c r="A6" s="308"/>
      <c r="B6" s="309" t="s">
        <v>178</v>
      </c>
      <c r="C6" s="310" t="s">
        <v>179</v>
      </c>
      <c r="D6" s="3716"/>
      <c r="E6" s="3716"/>
      <c r="F6" s="3716"/>
      <c r="G6" s="311">
        <v>1</v>
      </c>
      <c r="H6" s="173">
        <v>-3</v>
      </c>
      <c r="I6" s="311">
        <v>-2</v>
      </c>
      <c r="J6" s="173">
        <v>-1</v>
      </c>
      <c r="K6" s="312">
        <v>-1</v>
      </c>
      <c r="L6" s="312">
        <v>0</v>
      </c>
      <c r="M6" s="312">
        <v>1</v>
      </c>
      <c r="N6" s="312">
        <v>2</v>
      </c>
    </row>
    <row r="7" spans="1:14" ht="15" x14ac:dyDescent="0.25">
      <c r="A7" s="183">
        <v>1</v>
      </c>
      <c r="B7" s="313" t="s">
        <v>252</v>
      </c>
      <c r="C7" s="314"/>
      <c r="D7" s="315"/>
      <c r="E7" s="316" t="s">
        <v>253</v>
      </c>
      <c r="F7" s="317"/>
      <c r="G7" s="318" t="e">
        <f>G11+#REF!</f>
        <v>#REF!</v>
      </c>
      <c r="H7" s="690">
        <f>H8+H9+H10</f>
        <v>1005</v>
      </c>
      <c r="I7" s="319">
        <f>SUM(I8:I10)</f>
        <v>4775</v>
      </c>
      <c r="J7" s="690">
        <f>J8+J9+J10</f>
        <v>1160</v>
      </c>
      <c r="K7" s="891">
        <f>SUM(K8:K10)</f>
        <v>26220</v>
      </c>
      <c r="L7" s="182">
        <f>SUM(L8:L10)</f>
        <v>1220</v>
      </c>
      <c r="M7" s="182">
        <f>SUM(M8:M10)</f>
        <v>1170</v>
      </c>
      <c r="N7" s="182">
        <f>SUM(N8:N10)</f>
        <v>1470</v>
      </c>
    </row>
    <row r="8" spans="1:14" x14ac:dyDescent="0.2">
      <c r="A8" s="183">
        <f t="shared" ref="A8:A14" si="0">A7+1</f>
        <v>2</v>
      </c>
      <c r="B8" s="320" t="s">
        <v>181</v>
      </c>
      <c r="C8" s="827" t="s">
        <v>182</v>
      </c>
      <c r="D8" s="828"/>
      <c r="E8" s="829"/>
      <c r="F8" s="830"/>
      <c r="G8" s="831" t="e">
        <f>G12+#REF!</f>
        <v>#REF!</v>
      </c>
      <c r="H8" s="946">
        <f>H12</f>
        <v>1005</v>
      </c>
      <c r="I8" s="944">
        <f>SUM(I12)</f>
        <v>4775</v>
      </c>
      <c r="J8" s="946">
        <f>J12</f>
        <v>1160</v>
      </c>
      <c r="K8" s="913">
        <f>SUM(K12)</f>
        <v>26220</v>
      </c>
      <c r="L8" s="832">
        <f>SUM(L12)</f>
        <v>1220</v>
      </c>
      <c r="M8" s="832">
        <f>SUM(M12)</f>
        <v>1170</v>
      </c>
      <c r="N8" s="832">
        <f>SUM(N12)</f>
        <v>1470</v>
      </c>
    </row>
    <row r="9" spans="1:14" x14ac:dyDescent="0.2">
      <c r="A9" s="183">
        <f t="shared" si="0"/>
        <v>3</v>
      </c>
      <c r="B9" s="320" t="s">
        <v>183</v>
      </c>
      <c r="C9" s="936" t="s">
        <v>184</v>
      </c>
      <c r="D9" s="937"/>
      <c r="E9" s="938"/>
      <c r="F9" s="939"/>
      <c r="G9" s="940" t="e">
        <f>#REF!</f>
        <v>#REF!</v>
      </c>
      <c r="H9" s="953">
        <v>0</v>
      </c>
      <c r="I9" s="943">
        <v>0</v>
      </c>
      <c r="J9" s="953">
        <v>0</v>
      </c>
      <c r="K9" s="941">
        <v>0</v>
      </c>
      <c r="L9" s="942">
        <v>0</v>
      </c>
      <c r="M9" s="942">
        <v>0</v>
      </c>
      <c r="N9" s="942">
        <v>0</v>
      </c>
    </row>
    <row r="10" spans="1:14" ht="13.5" thickBot="1" x14ac:dyDescent="0.25">
      <c r="A10" s="183">
        <f t="shared" si="0"/>
        <v>4</v>
      </c>
      <c r="B10" s="321"/>
      <c r="C10" s="855" t="s">
        <v>185</v>
      </c>
      <c r="D10" s="856"/>
      <c r="E10" s="857"/>
      <c r="F10" s="858"/>
      <c r="G10" s="964">
        <v>0</v>
      </c>
      <c r="H10" s="966">
        <v>0</v>
      </c>
      <c r="I10" s="965">
        <v>0</v>
      </c>
      <c r="J10" s="966">
        <v>0</v>
      </c>
      <c r="K10" s="967">
        <v>0</v>
      </c>
      <c r="L10" s="968">
        <v>0</v>
      </c>
      <c r="M10" s="968">
        <v>0</v>
      </c>
      <c r="N10" s="968">
        <v>0</v>
      </c>
    </row>
    <row r="11" spans="1:14" ht="13.5" thickTop="1" x14ac:dyDescent="0.2">
      <c r="A11" s="183">
        <f t="shared" si="0"/>
        <v>5</v>
      </c>
      <c r="B11" s="322">
        <v>1</v>
      </c>
      <c r="C11" s="289" t="s">
        <v>254</v>
      </c>
      <c r="D11" s="190"/>
      <c r="E11" s="190"/>
      <c r="F11" s="191"/>
      <c r="G11" s="192" t="e">
        <f>SUM(G13)+#REF!</f>
        <v>#REF!</v>
      </c>
      <c r="H11" s="691">
        <f>H12</f>
        <v>1005</v>
      </c>
      <c r="I11" s="323">
        <f t="shared" ref="I11:N12" si="1">I12</f>
        <v>4775</v>
      </c>
      <c r="J11" s="691">
        <f>J12</f>
        <v>1160</v>
      </c>
      <c r="K11" s="362">
        <f t="shared" si="1"/>
        <v>26220</v>
      </c>
      <c r="L11" s="194">
        <f t="shared" si="1"/>
        <v>1220</v>
      </c>
      <c r="M11" s="194">
        <f t="shared" si="1"/>
        <v>1170</v>
      </c>
      <c r="N11" s="194">
        <f t="shared" si="1"/>
        <v>1470</v>
      </c>
    </row>
    <row r="12" spans="1:14" x14ac:dyDescent="0.2">
      <c r="A12" s="183">
        <f t="shared" si="0"/>
        <v>6</v>
      </c>
      <c r="B12" s="324"/>
      <c r="C12" s="204"/>
      <c r="D12" s="186" t="s">
        <v>182</v>
      </c>
      <c r="E12" s="205"/>
      <c r="F12" s="206"/>
      <c r="G12" s="207" t="e">
        <f>G13</f>
        <v>#REF!</v>
      </c>
      <c r="H12" s="692">
        <f>H13</f>
        <v>1005</v>
      </c>
      <c r="I12" s="325">
        <f t="shared" si="1"/>
        <v>4775</v>
      </c>
      <c r="J12" s="692">
        <f>J13</f>
        <v>1160</v>
      </c>
      <c r="K12" s="359">
        <f t="shared" si="1"/>
        <v>26220</v>
      </c>
      <c r="L12" s="208">
        <f t="shared" si="1"/>
        <v>1220</v>
      </c>
      <c r="M12" s="208">
        <f t="shared" si="1"/>
        <v>1170</v>
      </c>
      <c r="N12" s="208">
        <f t="shared" si="1"/>
        <v>1470</v>
      </c>
    </row>
    <row r="13" spans="1:14" x14ac:dyDescent="0.2">
      <c r="A13" s="183">
        <f t="shared" si="0"/>
        <v>7</v>
      </c>
      <c r="B13" s="326"/>
      <c r="C13" s="327" t="s">
        <v>255</v>
      </c>
      <c r="D13" s="244" t="s">
        <v>254</v>
      </c>
      <c r="E13" s="328"/>
      <c r="F13" s="329"/>
      <c r="G13" s="246" t="e">
        <f>SUM(#REF!)</f>
        <v>#REF!</v>
      </c>
      <c r="H13" s="693">
        <f t="shared" ref="H13:N13" si="2">SUM(H14:H17)</f>
        <v>1005</v>
      </c>
      <c r="I13" s="439">
        <f t="shared" si="2"/>
        <v>4775</v>
      </c>
      <c r="J13" s="693">
        <f t="shared" si="2"/>
        <v>1160</v>
      </c>
      <c r="K13" s="392">
        <f t="shared" si="2"/>
        <v>26220</v>
      </c>
      <c r="L13" s="215">
        <f t="shared" si="2"/>
        <v>1220</v>
      </c>
      <c r="M13" s="215">
        <f t="shared" si="2"/>
        <v>1170</v>
      </c>
      <c r="N13" s="215">
        <f t="shared" si="2"/>
        <v>1470</v>
      </c>
    </row>
    <row r="14" spans="1:14" x14ac:dyDescent="0.2">
      <c r="A14" s="183">
        <f t="shared" si="0"/>
        <v>8</v>
      </c>
      <c r="B14" s="326"/>
      <c r="C14" s="265" t="s">
        <v>197</v>
      </c>
      <c r="D14" s="266" t="s">
        <v>216</v>
      </c>
      <c r="E14" s="224" t="s">
        <v>256</v>
      </c>
      <c r="F14" s="254"/>
      <c r="G14" s="255"/>
      <c r="H14" s="1033">
        <f>výdavky!E115</f>
        <v>180</v>
      </c>
      <c r="I14" s="331">
        <f>výdavky!F115</f>
        <v>200</v>
      </c>
      <c r="J14" s="695">
        <f>výdavky!G115</f>
        <v>200</v>
      </c>
      <c r="K14" s="361">
        <f>výdavky!I115</f>
        <v>200</v>
      </c>
      <c r="L14" s="227">
        <f>výdavky!J115</f>
        <v>200</v>
      </c>
      <c r="M14" s="227">
        <f>výdavky!K115</f>
        <v>200</v>
      </c>
      <c r="N14" s="227">
        <f>výdavky!L115</f>
        <v>200</v>
      </c>
    </row>
    <row r="15" spans="1:14" x14ac:dyDescent="0.2">
      <c r="A15" s="183">
        <v>9</v>
      </c>
      <c r="B15" s="326"/>
      <c r="C15" s="265" t="s">
        <v>207</v>
      </c>
      <c r="D15" s="266" t="s">
        <v>218</v>
      </c>
      <c r="E15" s="224" t="s">
        <v>208</v>
      </c>
      <c r="F15" s="254"/>
      <c r="G15" s="255"/>
      <c r="H15" s="1033">
        <f>výdavky!E116</f>
        <v>502</v>
      </c>
      <c r="I15" s="331">
        <f>SUM(výdavky!F116)</f>
        <v>0</v>
      </c>
      <c r="J15" s="695">
        <f>výdavky!G116</f>
        <v>640</v>
      </c>
      <c r="K15" s="361">
        <f>výdavky!I116</f>
        <v>640</v>
      </c>
      <c r="L15" s="227">
        <f>výdavky!J116</f>
        <v>640</v>
      </c>
      <c r="M15" s="227">
        <f>výdavky!K116</f>
        <v>640</v>
      </c>
      <c r="N15" s="227">
        <f>výdavky!L116</f>
        <v>940</v>
      </c>
    </row>
    <row r="16" spans="1:14" s="3298" customFormat="1" ht="13.5" thickBot="1" x14ac:dyDescent="0.25">
      <c r="A16" s="183">
        <v>10</v>
      </c>
      <c r="B16" s="326"/>
      <c r="C16" s="333" t="s">
        <v>207</v>
      </c>
      <c r="D16" s="334" t="s">
        <v>229</v>
      </c>
      <c r="E16" s="335" t="s">
        <v>257</v>
      </c>
      <c r="F16" s="336"/>
      <c r="G16" s="337"/>
      <c r="H16" s="1054">
        <f>výdavky!E117</f>
        <v>323</v>
      </c>
      <c r="I16" s="338">
        <f>výdavky!F117</f>
        <v>360</v>
      </c>
      <c r="J16" s="907">
        <f>výdavky!G117</f>
        <v>320</v>
      </c>
      <c r="K16" s="389">
        <f>výdavky!I117</f>
        <v>380</v>
      </c>
      <c r="L16" s="339">
        <f>výdavky!J117</f>
        <v>380</v>
      </c>
      <c r="M16" s="339">
        <f>výdavky!K117</f>
        <v>330</v>
      </c>
      <c r="N16" s="339">
        <f>výdavky!L117</f>
        <v>330</v>
      </c>
    </row>
    <row r="17" spans="1:14" ht="13.5" thickBot="1" x14ac:dyDescent="0.25">
      <c r="A17" s="296">
        <v>11</v>
      </c>
      <c r="B17" s="332"/>
      <c r="C17" s="333" t="s">
        <v>207</v>
      </c>
      <c r="D17" s="334" t="s">
        <v>231</v>
      </c>
      <c r="E17" s="335" t="s">
        <v>997</v>
      </c>
      <c r="F17" s="336"/>
      <c r="G17" s="337"/>
      <c r="H17" s="1054">
        <f>výdavky!E118</f>
        <v>0</v>
      </c>
      <c r="I17" s="338">
        <f>výdavky!F118</f>
        <v>4215</v>
      </c>
      <c r="J17" s="907">
        <f>výdavky!G118</f>
        <v>0</v>
      </c>
      <c r="K17" s="389">
        <f>výdavky!I118</f>
        <v>25000</v>
      </c>
      <c r="L17" s="339">
        <f>výdavky!J118</f>
        <v>0</v>
      </c>
      <c r="M17" s="339">
        <f>výdavky!K118</f>
        <v>0</v>
      </c>
      <c r="N17" s="339">
        <f>výdavky!L118</f>
        <v>0</v>
      </c>
    </row>
  </sheetData>
  <mergeCells count="2">
    <mergeCell ref="G3:N3"/>
    <mergeCell ref="D4:F6"/>
  </mergeCells>
  <phoneticPr fontId="44" type="noConversion"/>
  <pageMargins left="0.25" right="0.25" top="0.75" bottom="0.75" header="0.3" footer="0.3"/>
  <pageSetup paperSize="9" scale="80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opLeftCell="A4" workbookViewId="0">
      <selection activeCell="K35" sqref="K35"/>
    </sheetView>
  </sheetViews>
  <sheetFormatPr defaultRowHeight="12.75" x14ac:dyDescent="0.2"/>
  <cols>
    <col min="1" max="1" width="3.5703125" style="147" customWidth="1"/>
    <col min="2" max="2" width="4.140625" style="1" customWidth="1"/>
    <col min="3" max="3" width="7.5703125" customWidth="1"/>
    <col min="4" max="4" width="3.42578125" customWidth="1"/>
    <col min="5" max="5" width="31.42578125" customWidth="1"/>
    <col min="6" max="6" width="15.5703125" customWidth="1"/>
    <col min="7" max="7" width="0" hidden="1" customWidth="1"/>
    <col min="8" max="8" width="8.42578125" customWidth="1"/>
    <col min="9" max="9" width="8.28515625" customWidth="1"/>
    <col min="10" max="10" width="7.7109375" customWidth="1"/>
    <col min="11" max="11" width="7.140625" customWidth="1"/>
    <col min="12" max="12" width="8.5703125" customWidth="1"/>
    <col min="13" max="14" width="7.28515625" customWidth="1"/>
  </cols>
  <sheetData>
    <row r="1" spans="1:14" ht="15.75" x14ac:dyDescent="0.25">
      <c r="A1" s="209"/>
      <c r="B1" s="340" t="s">
        <v>258</v>
      </c>
      <c r="C1" s="148"/>
      <c r="D1" s="148"/>
      <c r="E1" s="341" t="s">
        <v>259</v>
      </c>
      <c r="F1" s="148"/>
      <c r="G1" s="342" t="e">
        <f>G2-G7</f>
        <v>#REF!</v>
      </c>
      <c r="H1" s="342"/>
      <c r="I1" s="342"/>
      <c r="J1" s="342"/>
      <c r="K1" s="342"/>
      <c r="L1" s="343">
        <f>L2-L7</f>
        <v>0</v>
      </c>
      <c r="M1" s="343">
        <f>M2-M7</f>
        <v>0</v>
      </c>
      <c r="N1" s="343">
        <f>N2-N7</f>
        <v>0</v>
      </c>
    </row>
    <row r="2" spans="1:14" ht="16.5" thickBot="1" x14ac:dyDescent="0.3">
      <c r="A2" s="209"/>
      <c r="B2" s="340"/>
      <c r="C2" s="148"/>
      <c r="D2" s="148"/>
      <c r="E2" s="148"/>
      <c r="F2" s="148"/>
      <c r="G2" s="304" t="e">
        <f>SUM(G8:G10)</f>
        <v>#REF!</v>
      </c>
      <c r="H2" s="304"/>
      <c r="I2" s="304"/>
      <c r="J2" s="304"/>
      <c r="K2" s="304"/>
      <c r="L2" s="344">
        <f>SUM(L8:L10)</f>
        <v>104025</v>
      </c>
      <c r="M2" s="344">
        <f>SUM(M8:M10)</f>
        <v>108825</v>
      </c>
      <c r="N2" s="344">
        <f>SUM(N8:N10)</f>
        <v>111025</v>
      </c>
    </row>
    <row r="3" spans="1:14" ht="16.5" thickBot="1" x14ac:dyDescent="0.3">
      <c r="A3" s="160"/>
      <c r="B3" s="161"/>
      <c r="C3" s="162"/>
      <c r="D3" s="162"/>
      <c r="E3" s="163"/>
      <c r="F3" s="164"/>
      <c r="G3" s="3713" t="s">
        <v>169</v>
      </c>
      <c r="H3" s="3714"/>
      <c r="I3" s="3714"/>
      <c r="J3" s="3714"/>
      <c r="K3" s="3714"/>
      <c r="L3" s="3714"/>
      <c r="M3" s="3714"/>
      <c r="N3" s="3714"/>
    </row>
    <row r="4" spans="1:14" ht="12.75" customHeight="1" thickBot="1" x14ac:dyDescent="0.25">
      <c r="A4" s="165"/>
      <c r="B4" s="166" t="s">
        <v>170</v>
      </c>
      <c r="C4" s="167" t="s">
        <v>171</v>
      </c>
      <c r="D4" s="3715" t="s">
        <v>172</v>
      </c>
      <c r="E4" s="3715"/>
      <c r="F4" s="3715"/>
      <c r="G4" s="168"/>
      <c r="H4" s="3363">
        <v>2019</v>
      </c>
      <c r="I4" s="3364">
        <v>2020</v>
      </c>
      <c r="J4" s="3364" t="s">
        <v>995</v>
      </c>
      <c r="K4" s="3364" t="s">
        <v>992</v>
      </c>
      <c r="L4" s="3364">
        <v>2022</v>
      </c>
      <c r="M4" s="3364">
        <v>2023</v>
      </c>
      <c r="N4" s="3365">
        <v>2024</v>
      </c>
    </row>
    <row r="5" spans="1:14" ht="11.25" customHeight="1" thickBot="1" x14ac:dyDescent="0.25">
      <c r="A5" s="165"/>
      <c r="B5" s="166" t="s">
        <v>173</v>
      </c>
      <c r="C5" s="167" t="s">
        <v>174</v>
      </c>
      <c r="D5" s="3715"/>
      <c r="E5" s="3715"/>
      <c r="F5" s="3715"/>
      <c r="G5" s="170" t="s">
        <v>175</v>
      </c>
      <c r="H5" s="3366" t="s">
        <v>176</v>
      </c>
      <c r="I5" s="171" t="s">
        <v>176</v>
      </c>
      <c r="J5" s="171" t="s">
        <v>176</v>
      </c>
      <c r="K5" s="171" t="s">
        <v>176</v>
      </c>
      <c r="L5" s="171" t="s">
        <v>176</v>
      </c>
      <c r="M5" s="172" t="s">
        <v>177</v>
      </c>
      <c r="N5" s="1947" t="s">
        <v>177</v>
      </c>
    </row>
    <row r="6" spans="1:14" ht="13.5" thickBot="1" x14ac:dyDescent="0.25">
      <c r="A6" s="165"/>
      <c r="B6" s="166" t="s">
        <v>178</v>
      </c>
      <c r="C6" s="167" t="s">
        <v>179</v>
      </c>
      <c r="D6" s="3715"/>
      <c r="E6" s="3715"/>
      <c r="F6" s="3715"/>
      <c r="G6" s="173">
        <v>1</v>
      </c>
      <c r="H6" s="3367">
        <v>-3</v>
      </c>
      <c r="I6" s="312">
        <v>-2</v>
      </c>
      <c r="J6" s="312">
        <v>-1</v>
      </c>
      <c r="K6" s="312">
        <v>-1</v>
      </c>
      <c r="L6" s="312">
        <v>0</v>
      </c>
      <c r="M6" s="175">
        <v>1</v>
      </c>
      <c r="N6" s="1948">
        <v>2</v>
      </c>
    </row>
    <row r="7" spans="1:14" ht="15" x14ac:dyDescent="0.25">
      <c r="A7" s="3319">
        <v>1</v>
      </c>
      <c r="B7" s="3331" t="s">
        <v>258</v>
      </c>
      <c r="C7" s="3332"/>
      <c r="D7" s="1957"/>
      <c r="E7" s="1958" t="s">
        <v>259</v>
      </c>
      <c r="F7" s="3333"/>
      <c r="G7" s="3323" t="e">
        <f>G11+#REF!+#REF!+#REF!+#REF!+#REF!+G34+#REF!</f>
        <v>#REF!</v>
      </c>
      <c r="H7" s="1823">
        <f>H8+H9+H10</f>
        <v>110505</v>
      </c>
      <c r="I7" s="1824">
        <f>SUM(I8:I10)</f>
        <v>198733</v>
      </c>
      <c r="J7" s="1772">
        <f>J8+J9+J10</f>
        <v>101225</v>
      </c>
      <c r="K7" s="1826">
        <f>SUM(K8:K10)</f>
        <v>149223</v>
      </c>
      <c r="L7" s="1826">
        <f>SUM(L8:L10)</f>
        <v>104025</v>
      </c>
      <c r="M7" s="1825">
        <f>SUM(M8:M10)</f>
        <v>108825</v>
      </c>
      <c r="N7" s="1823">
        <f>SUM(N8:N10)</f>
        <v>111025</v>
      </c>
    </row>
    <row r="8" spans="1:14" x14ac:dyDescent="0.2">
      <c r="A8" s="3320">
        <f t="shared" ref="A8:A17" si="0">A7+1</f>
        <v>2</v>
      </c>
      <c r="B8" s="1965" t="s">
        <v>181</v>
      </c>
      <c r="C8" s="827" t="s">
        <v>182</v>
      </c>
      <c r="D8" s="828"/>
      <c r="E8" s="829"/>
      <c r="F8" s="3334"/>
      <c r="G8" s="3324" t="e">
        <f>G12+#REF!+#REF!+#REF!+#REF!+#REF!+#REF!+G35</f>
        <v>#REF!</v>
      </c>
      <c r="H8" s="946">
        <f>H12+H35</f>
        <v>110505</v>
      </c>
      <c r="I8" s="913">
        <f>SUM(I12,I35)</f>
        <v>115729</v>
      </c>
      <c r="J8" s="832">
        <f>J12+J35</f>
        <v>101225</v>
      </c>
      <c r="K8" s="832">
        <f>SUM(K12,K35)</f>
        <v>123024</v>
      </c>
      <c r="L8" s="832">
        <f>SUM(L12,L35)</f>
        <v>104025</v>
      </c>
      <c r="M8" s="945">
        <f>SUM(M12,M35)</f>
        <v>108825</v>
      </c>
      <c r="N8" s="946">
        <f>SUM(N12,N35)</f>
        <v>111025</v>
      </c>
    </row>
    <row r="9" spans="1:14" x14ac:dyDescent="0.2">
      <c r="A9" s="3320">
        <f t="shared" si="0"/>
        <v>3</v>
      </c>
      <c r="B9" s="1965" t="s">
        <v>183</v>
      </c>
      <c r="C9" s="936" t="s">
        <v>184</v>
      </c>
      <c r="D9" s="969"/>
      <c r="E9" s="970"/>
      <c r="F9" s="3335"/>
      <c r="G9" s="3325" t="e">
        <f>'Program 1'!#REF!+#REF!+#REF!</f>
        <v>#REF!</v>
      </c>
      <c r="H9" s="953">
        <f>H31+H43</f>
        <v>0</v>
      </c>
      <c r="I9" s="941">
        <f>I31+I43</f>
        <v>83004</v>
      </c>
      <c r="J9" s="942">
        <f>J31+J43</f>
        <v>0</v>
      </c>
      <c r="K9" s="942">
        <f>K31+K43+K27</f>
        <v>26199</v>
      </c>
      <c r="L9" s="942">
        <f>L31+L43</f>
        <v>0</v>
      </c>
      <c r="M9" s="971">
        <f>M31+M43</f>
        <v>0</v>
      </c>
      <c r="N9" s="953">
        <f>N31+N43</f>
        <v>0</v>
      </c>
    </row>
    <row r="10" spans="1:14" ht="13.5" thickBot="1" x14ac:dyDescent="0.25">
      <c r="A10" s="3320">
        <f t="shared" si="0"/>
        <v>4</v>
      </c>
      <c r="B10" s="3336"/>
      <c r="C10" s="855" t="s">
        <v>185</v>
      </c>
      <c r="D10" s="856"/>
      <c r="E10" s="857"/>
      <c r="F10" s="3337"/>
      <c r="G10" s="3326" t="e">
        <f>#REF!</f>
        <v>#REF!</v>
      </c>
      <c r="H10" s="966">
        <f t="shared" ref="H10:N10" si="1">H24</f>
        <v>0</v>
      </c>
      <c r="I10" s="967">
        <f t="shared" si="1"/>
        <v>0</v>
      </c>
      <c r="J10" s="968">
        <f t="shared" si="1"/>
        <v>0</v>
      </c>
      <c r="K10" s="968">
        <f t="shared" si="1"/>
        <v>0</v>
      </c>
      <c r="L10" s="965">
        <f t="shared" si="1"/>
        <v>0</v>
      </c>
      <c r="M10" s="972">
        <f t="shared" si="1"/>
        <v>0</v>
      </c>
      <c r="N10" s="966">
        <f t="shared" si="1"/>
        <v>0</v>
      </c>
    </row>
    <row r="11" spans="1:14" ht="13.5" thickTop="1" x14ac:dyDescent="0.2">
      <c r="A11" s="3320">
        <f t="shared" si="0"/>
        <v>5</v>
      </c>
      <c r="B11" s="3338">
        <v>1</v>
      </c>
      <c r="C11" s="285" t="s">
        <v>260</v>
      </c>
      <c r="D11" s="190"/>
      <c r="E11" s="190"/>
      <c r="F11" s="3339"/>
      <c r="G11" s="785" t="e">
        <f>G13+G32+#REF!</f>
        <v>#REF!</v>
      </c>
      <c r="H11" s="691">
        <f>H12+H24</f>
        <v>97687</v>
      </c>
      <c r="I11" s="362">
        <f>SUM(I12+I31)</f>
        <v>108032</v>
      </c>
      <c r="J11" s="194">
        <f>J12+J24</f>
        <v>92380</v>
      </c>
      <c r="K11" s="194">
        <f>SUM(K12+K31)</f>
        <v>110578</v>
      </c>
      <c r="L11" s="194">
        <f>SUM(L12+L31)</f>
        <v>92380</v>
      </c>
      <c r="M11" s="468">
        <f>SUM(M12+M31)</f>
        <v>99480</v>
      </c>
      <c r="N11" s="691">
        <f>SUM(N12+N31)</f>
        <v>101680</v>
      </c>
    </row>
    <row r="12" spans="1:14" s="242" customFormat="1" x14ac:dyDescent="0.2">
      <c r="A12" s="3320">
        <f t="shared" si="0"/>
        <v>6</v>
      </c>
      <c r="B12" s="3340"/>
      <c r="C12" s="276"/>
      <c r="D12" s="185" t="s">
        <v>182</v>
      </c>
      <c r="E12" s="205"/>
      <c r="F12" s="3341"/>
      <c r="G12" s="809">
        <f t="shared" ref="G12:N12" si="2">G13</f>
        <v>3298.8999999999996</v>
      </c>
      <c r="H12" s="692">
        <f>H13</f>
        <v>97687</v>
      </c>
      <c r="I12" s="359">
        <f t="shared" si="2"/>
        <v>108032</v>
      </c>
      <c r="J12" s="208">
        <f>J13</f>
        <v>92380</v>
      </c>
      <c r="K12" s="208">
        <f t="shared" si="2"/>
        <v>108174</v>
      </c>
      <c r="L12" s="208">
        <f t="shared" si="2"/>
        <v>92380</v>
      </c>
      <c r="M12" s="470">
        <f t="shared" si="2"/>
        <v>99480</v>
      </c>
      <c r="N12" s="692">
        <f t="shared" si="2"/>
        <v>101680</v>
      </c>
    </row>
    <row r="13" spans="1:14" x14ac:dyDescent="0.2">
      <c r="A13" s="3320">
        <f t="shared" si="0"/>
        <v>7</v>
      </c>
      <c r="B13" s="1954"/>
      <c r="C13" s="348" t="s">
        <v>261</v>
      </c>
      <c r="D13" s="244" t="s">
        <v>262</v>
      </c>
      <c r="E13" s="212"/>
      <c r="F13" s="3342"/>
      <c r="G13" s="3327">
        <f>SUM(G14:G21)</f>
        <v>3298.8999999999996</v>
      </c>
      <c r="H13" s="693">
        <f>SUM(H14:H23)</f>
        <v>97687</v>
      </c>
      <c r="I13" s="392">
        <f>SUM(I14,I15,I16,I17,I18,I19,I20,I21,I22,I23)</f>
        <v>108032</v>
      </c>
      <c r="J13" s="215">
        <f>SUM(J14:J23)</f>
        <v>92380</v>
      </c>
      <c r="K13" s="215">
        <f>SUM(K14,K15,K16,K17,K18,K19,K20,K21,K22,K23)</f>
        <v>108174</v>
      </c>
      <c r="L13" s="215">
        <f>SUM(L14,L15,L16,L17,L18,L19,L20,L21,L22,L23)</f>
        <v>92380</v>
      </c>
      <c r="M13" s="330">
        <f>SUM(M14,M15,M16,M17,M18,M19,M20,M21,M22,M23)</f>
        <v>99480</v>
      </c>
      <c r="N13" s="693">
        <f>SUM(N14,N15,N16,N17,N18,N19,N20,N21,N22,N23)</f>
        <v>101680</v>
      </c>
    </row>
    <row r="14" spans="1:14" x14ac:dyDescent="0.2">
      <c r="A14" s="3320">
        <f t="shared" si="0"/>
        <v>8</v>
      </c>
      <c r="B14" s="1954"/>
      <c r="C14" s="267" t="s">
        <v>191</v>
      </c>
      <c r="D14" s="261" t="s">
        <v>216</v>
      </c>
      <c r="E14" s="349" t="s">
        <v>244</v>
      </c>
      <c r="F14" s="3343"/>
      <c r="G14" s="221">
        <f t="shared" ref="G14:G22" si="3">ROUND(M14/30.126,1)</f>
        <v>2190.8000000000002</v>
      </c>
      <c r="H14" s="694">
        <f>výdavky!E126</f>
        <v>63722</v>
      </c>
      <c r="I14" s="360">
        <f>výdavky!F126</f>
        <v>70780</v>
      </c>
      <c r="J14" s="222">
        <f>výdavky!G126</f>
        <v>62000</v>
      </c>
      <c r="K14" s="222">
        <f>výdavky!I126</f>
        <v>70000</v>
      </c>
      <c r="L14" s="350">
        <f>výdavky!H126</f>
        <v>62000</v>
      </c>
      <c r="M14" s="686">
        <f>výdavky!K126</f>
        <v>66000</v>
      </c>
      <c r="N14" s="694">
        <f>výdavky!L126</f>
        <v>67500</v>
      </c>
    </row>
    <row r="15" spans="1:14" x14ac:dyDescent="0.2">
      <c r="A15" s="3320">
        <f t="shared" si="0"/>
        <v>9</v>
      </c>
      <c r="B15" s="1954"/>
      <c r="C15" s="267" t="s">
        <v>193</v>
      </c>
      <c r="D15" s="266" t="s">
        <v>218</v>
      </c>
      <c r="E15" s="351" t="s">
        <v>194</v>
      </c>
      <c r="F15" s="3344"/>
      <c r="G15" s="226">
        <f t="shared" si="3"/>
        <v>763.5</v>
      </c>
      <c r="H15" s="695">
        <f>výdavky!E127</f>
        <v>22543</v>
      </c>
      <c r="I15" s="361">
        <f>výdavky!F127</f>
        <v>25264</v>
      </c>
      <c r="J15" s="227">
        <f>výdavky!G127</f>
        <v>21000</v>
      </c>
      <c r="K15" s="227">
        <f>výdavky!I127</f>
        <v>26000</v>
      </c>
      <c r="L15" s="331">
        <f>výdavky!H127</f>
        <v>21000</v>
      </c>
      <c r="M15" s="475">
        <f>výdavky!K127</f>
        <v>23000</v>
      </c>
      <c r="N15" s="695">
        <f>výdavky!L127</f>
        <v>23200</v>
      </c>
    </row>
    <row r="16" spans="1:14" x14ac:dyDescent="0.2">
      <c r="A16" s="3320">
        <f t="shared" si="0"/>
        <v>10</v>
      </c>
      <c r="B16" s="1954"/>
      <c r="C16" s="267" t="s">
        <v>195</v>
      </c>
      <c r="D16" s="261" t="s">
        <v>229</v>
      </c>
      <c r="E16" s="349" t="s">
        <v>263</v>
      </c>
      <c r="F16" s="3343"/>
      <c r="G16" s="221">
        <f t="shared" si="3"/>
        <v>1.7</v>
      </c>
      <c r="H16" s="694">
        <f>výdavky!E128</f>
        <v>0</v>
      </c>
      <c r="I16" s="360">
        <f>výdavky!F128</f>
        <v>0</v>
      </c>
      <c r="J16" s="222">
        <f>výdavky!G128</f>
        <v>50</v>
      </c>
      <c r="K16" s="222">
        <f>výdavky!I128</f>
        <v>50</v>
      </c>
      <c r="L16" s="350">
        <f>výdavky!H128</f>
        <v>50</v>
      </c>
      <c r="M16" s="686">
        <f>výdavky!K128</f>
        <v>50</v>
      </c>
      <c r="N16" s="694">
        <f>výdavky!L128</f>
        <v>50</v>
      </c>
    </row>
    <row r="17" spans="1:14" x14ac:dyDescent="0.2">
      <c r="A17" s="3320">
        <f t="shared" si="0"/>
        <v>11</v>
      </c>
      <c r="B17" s="1954"/>
      <c r="C17" s="267" t="s">
        <v>197</v>
      </c>
      <c r="D17" s="266" t="s">
        <v>231</v>
      </c>
      <c r="E17" s="351" t="s">
        <v>198</v>
      </c>
      <c r="F17" s="3344"/>
      <c r="G17" s="226">
        <f t="shared" si="3"/>
        <v>29.2</v>
      </c>
      <c r="H17" s="695">
        <f>výdavky!E129</f>
        <v>750</v>
      </c>
      <c r="I17" s="361">
        <f>výdavky!F129</f>
        <v>650</v>
      </c>
      <c r="J17" s="227">
        <f>výdavky!G129</f>
        <v>880</v>
      </c>
      <c r="K17" s="227">
        <f>výdavky!I129</f>
        <v>880</v>
      </c>
      <c r="L17" s="331">
        <f>výdavky!H129</f>
        <v>880</v>
      </c>
      <c r="M17" s="475">
        <f>výdavky!K129</f>
        <v>880</v>
      </c>
      <c r="N17" s="695">
        <f>výdavky!L129</f>
        <v>880</v>
      </c>
    </row>
    <row r="18" spans="1:14" x14ac:dyDescent="0.2">
      <c r="A18" s="3320">
        <v>12</v>
      </c>
      <c r="B18" s="1954"/>
      <c r="C18" s="267" t="s">
        <v>199</v>
      </c>
      <c r="D18" s="261" t="s">
        <v>233</v>
      </c>
      <c r="E18" s="349" t="s">
        <v>264</v>
      </c>
      <c r="F18" s="3343"/>
      <c r="G18" s="221">
        <f t="shared" si="3"/>
        <v>101.2</v>
      </c>
      <c r="H18" s="694">
        <f>výdavky!E130</f>
        <v>2860</v>
      </c>
      <c r="I18" s="360">
        <f>výdavky!F130</f>
        <v>6195</v>
      </c>
      <c r="J18" s="222">
        <f>výdavky!G130</f>
        <v>2850</v>
      </c>
      <c r="K18" s="222">
        <f>výdavky!I130</f>
        <v>2850</v>
      </c>
      <c r="L18" s="350">
        <f>výdavky!H130</f>
        <v>2850</v>
      </c>
      <c r="M18" s="686">
        <f>výdavky!K130</f>
        <v>3050</v>
      </c>
      <c r="N18" s="694">
        <f>výdavky!L130</f>
        <v>3050</v>
      </c>
    </row>
    <row r="19" spans="1:14" x14ac:dyDescent="0.2">
      <c r="A19" s="3320">
        <f>A18+1</f>
        <v>13</v>
      </c>
      <c r="B19" s="1954"/>
      <c r="C19" s="267" t="s">
        <v>201</v>
      </c>
      <c r="D19" s="266" t="s">
        <v>237</v>
      </c>
      <c r="E19" s="351" t="s">
        <v>265</v>
      </c>
      <c r="F19" s="3344"/>
      <c r="G19" s="226">
        <f t="shared" si="3"/>
        <v>199.2</v>
      </c>
      <c r="H19" s="695">
        <f>výdavky!E138</f>
        <v>6942</v>
      </c>
      <c r="I19" s="361">
        <f>výdavky!F138</f>
        <v>4800</v>
      </c>
      <c r="J19" s="227">
        <f>výdavky!G138</f>
        <v>5100</v>
      </c>
      <c r="K19" s="227">
        <f>výdavky!I138</f>
        <v>7000</v>
      </c>
      <c r="L19" s="331">
        <f>výdavky!H138</f>
        <v>5100</v>
      </c>
      <c r="M19" s="475">
        <f>výdavky!K138</f>
        <v>6000</v>
      </c>
      <c r="N19" s="695">
        <f>výdavky!L138</f>
        <v>6500</v>
      </c>
    </row>
    <row r="20" spans="1:14" x14ac:dyDescent="0.2">
      <c r="A20" s="3320">
        <f>A19+1</f>
        <v>14</v>
      </c>
      <c r="B20" s="1954"/>
      <c r="C20" s="267" t="s">
        <v>203</v>
      </c>
      <c r="D20" s="261" t="s">
        <v>239</v>
      </c>
      <c r="E20" s="349" t="s">
        <v>266</v>
      </c>
      <c r="F20" s="3343"/>
      <c r="G20" s="221">
        <f t="shared" si="3"/>
        <v>3.3</v>
      </c>
      <c r="H20" s="694">
        <f>výdavky!E142</f>
        <v>283</v>
      </c>
      <c r="I20" s="360">
        <f>výdavky!F142</f>
        <v>144</v>
      </c>
      <c r="J20" s="222">
        <f>výdavky!G142</f>
        <v>100</v>
      </c>
      <c r="K20" s="222">
        <f>výdavky!I142</f>
        <v>1028</v>
      </c>
      <c r="L20" s="350">
        <f>výdavky!H142</f>
        <v>100</v>
      </c>
      <c r="M20" s="686">
        <f>výdavky!K142</f>
        <v>100</v>
      </c>
      <c r="N20" s="694">
        <f>výdavky!L142</f>
        <v>100</v>
      </c>
    </row>
    <row r="21" spans="1:14" x14ac:dyDescent="0.2">
      <c r="A21" s="3320">
        <f>A20+1</f>
        <v>15</v>
      </c>
      <c r="B21" s="1954"/>
      <c r="C21" s="267" t="s">
        <v>207</v>
      </c>
      <c r="D21" s="266" t="s">
        <v>267</v>
      </c>
      <c r="E21" s="351" t="s">
        <v>268</v>
      </c>
      <c r="F21" s="3344"/>
      <c r="G21" s="226">
        <f t="shared" si="3"/>
        <v>10</v>
      </c>
      <c r="H21" s="695">
        <f>výdavky!E143</f>
        <v>521</v>
      </c>
      <c r="I21" s="361">
        <f>výdavky!F143</f>
        <v>133</v>
      </c>
      <c r="J21" s="227">
        <f>výdavky!G143</f>
        <v>300</v>
      </c>
      <c r="K21" s="227">
        <f>výdavky!I143</f>
        <v>300</v>
      </c>
      <c r="L21" s="331">
        <f>výdavky!H143</f>
        <v>300</v>
      </c>
      <c r="M21" s="475">
        <f>výdavky!K143</f>
        <v>300</v>
      </c>
      <c r="N21" s="695">
        <f>výdavky!L143</f>
        <v>300</v>
      </c>
    </row>
    <row r="22" spans="1:14" x14ac:dyDescent="0.2">
      <c r="A22" s="3320">
        <v>16</v>
      </c>
      <c r="B22" s="1954"/>
      <c r="C22" s="267" t="s">
        <v>215</v>
      </c>
      <c r="D22" s="266" t="s">
        <v>269</v>
      </c>
      <c r="E22" s="351" t="s">
        <v>270</v>
      </c>
      <c r="F22" s="3344"/>
      <c r="G22" s="226">
        <f t="shared" si="3"/>
        <v>3.3</v>
      </c>
      <c r="H22" s="695">
        <f>výdavky!E144</f>
        <v>66</v>
      </c>
      <c r="I22" s="361">
        <f>výdavky!F144</f>
        <v>66</v>
      </c>
      <c r="J22" s="227">
        <f>výdavky!G144</f>
        <v>100</v>
      </c>
      <c r="K22" s="227">
        <f>výdavky!I144</f>
        <v>66</v>
      </c>
      <c r="L22" s="331">
        <f>výdavky!H144</f>
        <v>100</v>
      </c>
      <c r="M22" s="475">
        <f>výdavky!K144</f>
        <v>100</v>
      </c>
      <c r="N22" s="695">
        <f>výdavky!L144</f>
        <v>100</v>
      </c>
    </row>
    <row r="23" spans="1:14" x14ac:dyDescent="0.2">
      <c r="A23" s="3320">
        <v>17</v>
      </c>
      <c r="B23" s="1954"/>
      <c r="C23" s="267" t="s">
        <v>207</v>
      </c>
      <c r="D23" s="266" t="s">
        <v>271</v>
      </c>
      <c r="E23" s="351" t="s">
        <v>272</v>
      </c>
      <c r="F23" s="3344"/>
      <c r="G23" s="226"/>
      <c r="H23" s="695">
        <f>výdavky!E145</f>
        <v>0</v>
      </c>
      <c r="I23" s="361">
        <f>SUM(výdavky!F145)</f>
        <v>0</v>
      </c>
      <c r="J23" s="227">
        <f>výdavky!G145</f>
        <v>0</v>
      </c>
      <c r="K23" s="227">
        <f>výdavky!I145</f>
        <v>0</v>
      </c>
      <c r="L23" s="331">
        <f>výdavky!H145</f>
        <v>0</v>
      </c>
      <c r="M23" s="475">
        <f>výdavky!K145</f>
        <v>0</v>
      </c>
      <c r="N23" s="695">
        <f>výdavky!L145</f>
        <v>0</v>
      </c>
    </row>
    <row r="24" spans="1:14" x14ac:dyDescent="0.2">
      <c r="A24" s="3320">
        <v>18</v>
      </c>
      <c r="B24" s="1954"/>
      <c r="C24" s="217"/>
      <c r="D24" s="973" t="s">
        <v>185</v>
      </c>
      <c r="E24" s="974"/>
      <c r="F24" s="3345"/>
      <c r="G24" s="975"/>
      <c r="H24" s="1051">
        <f t="shared" ref="H24:J25" si="4">H25</f>
        <v>0</v>
      </c>
      <c r="I24" s="1047">
        <f t="shared" si="4"/>
        <v>0</v>
      </c>
      <c r="J24" s="976">
        <f t="shared" si="4"/>
        <v>0</v>
      </c>
      <c r="K24" s="976"/>
      <c r="L24" s="977">
        <f t="shared" ref="L24:N25" si="5">L25</f>
        <v>0</v>
      </c>
      <c r="M24" s="978">
        <f t="shared" si="5"/>
        <v>0</v>
      </c>
      <c r="N24" s="979">
        <f t="shared" si="5"/>
        <v>0</v>
      </c>
    </row>
    <row r="25" spans="1:14" x14ac:dyDescent="0.2">
      <c r="A25" s="3320">
        <v>19</v>
      </c>
      <c r="B25" s="1954"/>
      <c r="C25" s="348" t="s">
        <v>261</v>
      </c>
      <c r="D25" s="947" t="s">
        <v>262</v>
      </c>
      <c r="E25" s="948"/>
      <c r="F25" s="3346"/>
      <c r="G25" s="949"/>
      <c r="H25" s="1052">
        <f t="shared" si="4"/>
        <v>0</v>
      </c>
      <c r="I25" s="1048">
        <f t="shared" si="4"/>
        <v>0</v>
      </c>
      <c r="J25" s="950">
        <f t="shared" si="4"/>
        <v>0</v>
      </c>
      <c r="K25" s="950">
        <f>K26</f>
        <v>0</v>
      </c>
      <c r="L25" s="951">
        <f t="shared" si="5"/>
        <v>0</v>
      </c>
      <c r="M25" s="952">
        <f t="shared" si="5"/>
        <v>0</v>
      </c>
      <c r="N25" s="3368">
        <f t="shared" si="5"/>
        <v>0</v>
      </c>
    </row>
    <row r="26" spans="1:14" x14ac:dyDescent="0.2">
      <c r="A26" s="3320">
        <v>20</v>
      </c>
      <c r="B26" s="1954"/>
      <c r="C26" s="217"/>
      <c r="D26" s="868" t="s">
        <v>362</v>
      </c>
      <c r="E26" s="780" t="s">
        <v>679</v>
      </c>
      <c r="F26" s="3347"/>
      <c r="G26" s="3328"/>
      <c r="H26" s="699">
        <f>výdavky!E676</f>
        <v>0</v>
      </c>
      <c r="I26" s="1049">
        <v>0</v>
      </c>
      <c r="J26" s="684">
        <v>0</v>
      </c>
      <c r="K26" s="684">
        <v>0</v>
      </c>
      <c r="L26" s="685">
        <v>0</v>
      </c>
      <c r="M26" s="689">
        <v>0</v>
      </c>
      <c r="N26" s="699">
        <v>0</v>
      </c>
    </row>
    <row r="27" spans="1:14" s="3298" customFormat="1" x14ac:dyDescent="0.2">
      <c r="A27" s="3320">
        <v>21</v>
      </c>
      <c r="B27" s="1954"/>
      <c r="C27" s="217"/>
      <c r="D27" s="3718" t="s">
        <v>184</v>
      </c>
      <c r="E27" s="3719"/>
      <c r="F27" s="3720"/>
      <c r="G27" s="3362"/>
      <c r="H27" s="3369">
        <f t="shared" ref="H27:N28" si="6">H28</f>
        <v>0</v>
      </c>
      <c r="I27" s="3302">
        <f t="shared" si="6"/>
        <v>0</v>
      </c>
      <c r="J27" s="3302">
        <f t="shared" si="6"/>
        <v>0</v>
      </c>
      <c r="K27" s="3302">
        <f t="shared" si="6"/>
        <v>7900</v>
      </c>
      <c r="L27" s="3302">
        <f t="shared" si="6"/>
        <v>0</v>
      </c>
      <c r="M27" s="3302">
        <f t="shared" si="6"/>
        <v>0</v>
      </c>
      <c r="N27" s="3370">
        <f t="shared" si="6"/>
        <v>0</v>
      </c>
    </row>
    <row r="28" spans="1:14" s="3298" customFormat="1" x14ac:dyDescent="0.2">
      <c r="A28" s="3320">
        <v>22</v>
      </c>
      <c r="B28" s="1954"/>
      <c r="C28" s="348" t="s">
        <v>261</v>
      </c>
      <c r="D28" s="947" t="s">
        <v>262</v>
      </c>
      <c r="E28" s="948"/>
      <c r="F28" s="3346"/>
      <c r="G28" s="3328"/>
      <c r="H28" s="3371">
        <f t="shared" si="6"/>
        <v>0</v>
      </c>
      <c r="I28" s="3304">
        <f t="shared" si="6"/>
        <v>0</v>
      </c>
      <c r="J28" s="3304">
        <f t="shared" si="6"/>
        <v>0</v>
      </c>
      <c r="K28" s="3304">
        <f t="shared" si="6"/>
        <v>7900</v>
      </c>
      <c r="L28" s="3304">
        <f t="shared" si="6"/>
        <v>0</v>
      </c>
      <c r="M28" s="3304">
        <f t="shared" si="6"/>
        <v>0</v>
      </c>
      <c r="N28" s="3372">
        <f t="shared" si="6"/>
        <v>0</v>
      </c>
    </row>
    <row r="29" spans="1:14" s="3298" customFormat="1" x14ac:dyDescent="0.2">
      <c r="A29" s="3320">
        <v>23</v>
      </c>
      <c r="B29" s="1954"/>
      <c r="C29" s="217"/>
      <c r="D29" s="868" t="s">
        <v>368</v>
      </c>
      <c r="E29" s="3721" t="s">
        <v>998</v>
      </c>
      <c r="F29" s="3722"/>
      <c r="G29" s="3328"/>
      <c r="H29" s="867">
        <f>výdavky!E676</f>
        <v>0</v>
      </c>
      <c r="I29" s="3303">
        <f>výdavky!F676</f>
        <v>0</v>
      </c>
      <c r="J29" s="3303">
        <f>výdavky!G676</f>
        <v>0</v>
      </c>
      <c r="K29" s="3303">
        <f>výdavky!I676</f>
        <v>7900</v>
      </c>
      <c r="L29" s="3303"/>
      <c r="M29" s="3303"/>
      <c r="N29" s="3373"/>
    </row>
    <row r="30" spans="1:14" x14ac:dyDescent="0.2">
      <c r="A30" s="3320">
        <v>24</v>
      </c>
      <c r="B30" s="3348">
        <v>2</v>
      </c>
      <c r="C30" s="3717" t="s">
        <v>273</v>
      </c>
      <c r="D30" s="3717"/>
      <c r="E30" s="3717"/>
      <c r="F30" s="3349"/>
      <c r="G30" s="3329"/>
      <c r="H30" s="1053">
        <f>H31</f>
        <v>0</v>
      </c>
      <c r="I30" s="1050">
        <f>SUM(I31)</f>
        <v>0</v>
      </c>
      <c r="J30" s="352">
        <f>J31</f>
        <v>0</v>
      </c>
      <c r="K30" s="352">
        <f>SUM(K31)</f>
        <v>2404</v>
      </c>
      <c r="L30" s="353">
        <f>SUM(L31)</f>
        <v>0</v>
      </c>
      <c r="M30" s="478">
        <f>SUM(M31)</f>
        <v>0</v>
      </c>
      <c r="N30" s="696">
        <f>SUM(N31)</f>
        <v>0</v>
      </c>
    </row>
    <row r="31" spans="1:14" x14ac:dyDescent="0.2">
      <c r="A31" s="3320">
        <v>25</v>
      </c>
      <c r="B31" s="3350"/>
      <c r="C31" s="354"/>
      <c r="D31" s="749" t="s">
        <v>184</v>
      </c>
      <c r="E31" s="812"/>
      <c r="F31" s="3351"/>
      <c r="G31" s="810" t="e">
        <f>'Program 3'!#REF!</f>
        <v>#REF!</v>
      </c>
      <c r="H31" s="765">
        <f>H32</f>
        <v>0</v>
      </c>
      <c r="I31" s="761">
        <f t="shared" ref="I31:N31" si="7">I32</f>
        <v>0</v>
      </c>
      <c r="J31" s="760">
        <f>J32</f>
        <v>0</v>
      </c>
      <c r="K31" s="760">
        <f t="shared" si="7"/>
        <v>2404</v>
      </c>
      <c r="L31" s="760">
        <f t="shared" si="7"/>
        <v>0</v>
      </c>
      <c r="M31" s="769">
        <f t="shared" si="7"/>
        <v>0</v>
      </c>
      <c r="N31" s="765">
        <f t="shared" si="7"/>
        <v>0</v>
      </c>
    </row>
    <row r="32" spans="1:14" x14ac:dyDescent="0.2">
      <c r="A32" s="3320">
        <f>A31+1</f>
        <v>26</v>
      </c>
      <c r="B32" s="1954"/>
      <c r="C32" s="348" t="s">
        <v>261</v>
      </c>
      <c r="D32" s="244" t="s">
        <v>262</v>
      </c>
      <c r="E32" s="212"/>
      <c r="F32" s="3342"/>
      <c r="G32" s="784">
        <f>SUM(G33:G33)</f>
        <v>0</v>
      </c>
      <c r="H32" s="697">
        <f>H33</f>
        <v>0</v>
      </c>
      <c r="I32" s="897">
        <f>I33</f>
        <v>0</v>
      </c>
      <c r="J32" s="260">
        <f>J33</f>
        <v>0</v>
      </c>
      <c r="K32" s="260">
        <f>K33</f>
        <v>2404</v>
      </c>
      <c r="L32" s="260">
        <f>L33</f>
        <v>0</v>
      </c>
      <c r="M32" s="687">
        <f>M33</f>
        <v>0</v>
      </c>
      <c r="N32" s="697">
        <f>N33</f>
        <v>0</v>
      </c>
    </row>
    <row r="33" spans="1:14" x14ac:dyDescent="0.2">
      <c r="A33" s="3320">
        <f>A32+1</f>
        <v>27</v>
      </c>
      <c r="B33" s="1954"/>
      <c r="C33" s="267" t="s">
        <v>274</v>
      </c>
      <c r="D33" s="266" t="s">
        <v>216</v>
      </c>
      <c r="E33" s="351" t="s">
        <v>1000</v>
      </c>
      <c r="F33" s="3344"/>
      <c r="G33" s="226">
        <f>ROUND(M33/30.126,1)</f>
        <v>0</v>
      </c>
      <c r="H33" s="695">
        <f>výdavky!E673</f>
        <v>0</v>
      </c>
      <c r="I33" s="361">
        <f>výdavky!F673</f>
        <v>0</v>
      </c>
      <c r="J33" s="227">
        <f>výdavky!G673</f>
        <v>0</v>
      </c>
      <c r="K33" s="227">
        <f>výdavky!I673+výdavky!I674</f>
        <v>2404</v>
      </c>
      <c r="L33" s="331">
        <f>výdavky!H672</f>
        <v>0</v>
      </c>
      <c r="M33" s="475">
        <f>výdavky!K672</f>
        <v>0</v>
      </c>
      <c r="N33" s="695">
        <f>výdavky!L672</f>
        <v>0</v>
      </c>
    </row>
    <row r="34" spans="1:14" x14ac:dyDescent="0.2">
      <c r="A34" s="3320">
        <v>28</v>
      </c>
      <c r="B34" s="3338">
        <v>3</v>
      </c>
      <c r="C34" s="285" t="s">
        <v>275</v>
      </c>
      <c r="D34" s="190"/>
      <c r="E34" s="190"/>
      <c r="F34" s="3339"/>
      <c r="G34" s="785">
        <f>SUM(G36)</f>
        <v>290.3</v>
      </c>
      <c r="H34" s="691">
        <f>H35</f>
        <v>12818</v>
      </c>
      <c r="I34" s="362">
        <f>I35+I43</f>
        <v>90701</v>
      </c>
      <c r="J34" s="194">
        <f>J35</f>
        <v>8845</v>
      </c>
      <c r="K34" s="194">
        <f>K35+K43</f>
        <v>30745</v>
      </c>
      <c r="L34" s="194">
        <f t="shared" ref="I34:N35" si="8">L35</f>
        <v>11645</v>
      </c>
      <c r="M34" s="468">
        <f t="shared" si="8"/>
        <v>9345</v>
      </c>
      <c r="N34" s="691">
        <f t="shared" si="8"/>
        <v>9345</v>
      </c>
    </row>
    <row r="35" spans="1:14" s="242" customFormat="1" x14ac:dyDescent="0.2">
      <c r="A35" s="3320">
        <f t="shared" ref="A35:A40" si="9">A34+1</f>
        <v>29</v>
      </c>
      <c r="B35" s="3340"/>
      <c r="C35" s="276"/>
      <c r="D35" s="185" t="s">
        <v>182</v>
      </c>
      <c r="E35" s="205"/>
      <c r="F35" s="3341"/>
      <c r="G35" s="809">
        <f>G36</f>
        <v>290.3</v>
      </c>
      <c r="H35" s="692">
        <f>H36</f>
        <v>12818</v>
      </c>
      <c r="I35" s="359">
        <f t="shared" si="8"/>
        <v>7697</v>
      </c>
      <c r="J35" s="208">
        <f>J36</f>
        <v>8845</v>
      </c>
      <c r="K35" s="208">
        <f t="shared" si="8"/>
        <v>14850</v>
      </c>
      <c r="L35" s="208">
        <f t="shared" si="8"/>
        <v>11645</v>
      </c>
      <c r="M35" s="470">
        <f t="shared" si="8"/>
        <v>9345</v>
      </c>
      <c r="N35" s="692">
        <f t="shared" si="8"/>
        <v>9345</v>
      </c>
    </row>
    <row r="36" spans="1:14" x14ac:dyDescent="0.2">
      <c r="A36" s="3320">
        <f t="shared" si="9"/>
        <v>30</v>
      </c>
      <c r="B36" s="1954"/>
      <c r="C36" s="348" t="s">
        <v>276</v>
      </c>
      <c r="D36" s="244" t="s">
        <v>277</v>
      </c>
      <c r="E36" s="328"/>
      <c r="F36" s="3352"/>
      <c r="G36" s="3327">
        <f t="shared" ref="G36:N36" si="10">SUM(G37:G42)</f>
        <v>290.3</v>
      </c>
      <c r="H36" s="693">
        <f>SUM(H37:H42)</f>
        <v>12818</v>
      </c>
      <c r="I36" s="392">
        <f t="shared" si="10"/>
        <v>7697</v>
      </c>
      <c r="J36" s="215">
        <f>SUM(J37:J42)</f>
        <v>8845</v>
      </c>
      <c r="K36" s="215">
        <f t="shared" si="10"/>
        <v>14850</v>
      </c>
      <c r="L36" s="215">
        <f t="shared" si="10"/>
        <v>11645</v>
      </c>
      <c r="M36" s="330">
        <f t="shared" si="10"/>
        <v>9345</v>
      </c>
      <c r="N36" s="693">
        <f t="shared" si="10"/>
        <v>9345</v>
      </c>
    </row>
    <row r="37" spans="1:14" x14ac:dyDescent="0.2">
      <c r="A37" s="3320">
        <f t="shared" si="9"/>
        <v>31</v>
      </c>
      <c r="B37" s="1927"/>
      <c r="C37" s="267" t="s">
        <v>197</v>
      </c>
      <c r="D37" s="355">
        <v>1</v>
      </c>
      <c r="E37" s="228" t="s">
        <v>278</v>
      </c>
      <c r="F37" s="3344"/>
      <c r="G37" s="226">
        <f>ROUND(M37/30.126,1)</f>
        <v>62.9</v>
      </c>
      <c r="H37" s="695">
        <f>výdavky!E148</f>
        <v>1373</v>
      </c>
      <c r="I37" s="361">
        <f>výdavky!F148</f>
        <v>2202</v>
      </c>
      <c r="J37" s="227">
        <f>výdavky!G148</f>
        <v>1895</v>
      </c>
      <c r="K37" s="227">
        <f>výdavky!I148</f>
        <v>2300</v>
      </c>
      <c r="L37" s="331">
        <f>výdavky!H148</f>
        <v>1895</v>
      </c>
      <c r="M37" s="475">
        <f>výdavky!K148</f>
        <v>1895</v>
      </c>
      <c r="N37" s="695">
        <f>výdavky!L148</f>
        <v>1895</v>
      </c>
    </row>
    <row r="38" spans="1:14" x14ac:dyDescent="0.2">
      <c r="A38" s="3320">
        <f t="shared" si="9"/>
        <v>32</v>
      </c>
      <c r="B38" s="1927"/>
      <c r="C38" s="267" t="s">
        <v>199</v>
      </c>
      <c r="D38" s="356">
        <v>2</v>
      </c>
      <c r="E38" s="219" t="s">
        <v>200</v>
      </c>
      <c r="F38" s="3343"/>
      <c r="G38" s="221">
        <f>ROUND(M38/30.126,1)</f>
        <v>166</v>
      </c>
      <c r="H38" s="694">
        <f>výdavky!E149</f>
        <v>6004</v>
      </c>
      <c r="I38" s="360">
        <f>výdavky!F149</f>
        <v>3693</v>
      </c>
      <c r="J38" s="222">
        <f>výdavky!G149</f>
        <v>4500</v>
      </c>
      <c r="K38" s="222">
        <f>výdavky!I149</f>
        <v>9900</v>
      </c>
      <c r="L38" s="350">
        <f>výdavky!H149</f>
        <v>7300</v>
      </c>
      <c r="M38" s="686">
        <f>výdavky!K149</f>
        <v>5000</v>
      </c>
      <c r="N38" s="694">
        <f>výdavky!L149</f>
        <v>5000</v>
      </c>
    </row>
    <row r="39" spans="1:14" x14ac:dyDescent="0.2">
      <c r="A39" s="3320">
        <f t="shared" si="9"/>
        <v>33</v>
      </c>
      <c r="B39" s="1927"/>
      <c r="C39" s="267" t="s">
        <v>201</v>
      </c>
      <c r="D39" s="355">
        <v>3</v>
      </c>
      <c r="E39" s="228" t="s">
        <v>265</v>
      </c>
      <c r="F39" s="3344"/>
      <c r="G39" s="226">
        <f>ROUND(M39/30.126,1)</f>
        <v>44.8</v>
      </c>
      <c r="H39" s="695">
        <f>výdavky!E156</f>
        <v>907</v>
      </c>
      <c r="I39" s="361">
        <f>výdavky!F156</f>
        <v>498</v>
      </c>
      <c r="J39" s="227">
        <f>výdavky!G156</f>
        <v>1350</v>
      </c>
      <c r="K39" s="227">
        <f>výdavky!I156</f>
        <v>1550</v>
      </c>
      <c r="L39" s="331">
        <f>výdavky!H156</f>
        <v>1350</v>
      </c>
      <c r="M39" s="475">
        <f>výdavky!K156</f>
        <v>1350</v>
      </c>
      <c r="N39" s="695">
        <f>výdavky!L156</f>
        <v>1350</v>
      </c>
    </row>
    <row r="40" spans="1:14" x14ac:dyDescent="0.2">
      <c r="A40" s="3320">
        <f t="shared" si="9"/>
        <v>34</v>
      </c>
      <c r="B40" s="1927"/>
      <c r="C40" s="267" t="s">
        <v>203</v>
      </c>
      <c r="D40" s="678">
        <v>4</v>
      </c>
      <c r="E40" s="679" t="s">
        <v>279</v>
      </c>
      <c r="F40" s="3353"/>
      <c r="G40" s="232">
        <f>ROUND(M40/30.126,1)</f>
        <v>16.600000000000001</v>
      </c>
      <c r="H40" s="698">
        <f>výdavky!E161</f>
        <v>365</v>
      </c>
      <c r="I40" s="402">
        <f>výdavky!F161</f>
        <v>0</v>
      </c>
      <c r="J40" s="233">
        <f>výdavky!G161</f>
        <v>500</v>
      </c>
      <c r="K40" s="233">
        <f>výdavky!I161</f>
        <v>500</v>
      </c>
      <c r="L40" s="681">
        <f>výdavky!H161</f>
        <v>500</v>
      </c>
      <c r="M40" s="688">
        <f>výdavky!K161</f>
        <v>500</v>
      </c>
      <c r="N40" s="698">
        <f>výdavky!L161</f>
        <v>500</v>
      </c>
    </row>
    <row r="41" spans="1:14" x14ac:dyDescent="0.2">
      <c r="A41" s="3320">
        <v>35</v>
      </c>
      <c r="B41" s="1927"/>
      <c r="C41" s="217" t="s">
        <v>207</v>
      </c>
      <c r="D41" s="682">
        <v>5</v>
      </c>
      <c r="E41" s="683" t="s">
        <v>280</v>
      </c>
      <c r="F41" s="3354"/>
      <c r="G41" s="3328"/>
      <c r="H41" s="699">
        <f>výdavky!E163</f>
        <v>4169</v>
      </c>
      <c r="I41" s="1049">
        <f>SUM(výdavky!F163)</f>
        <v>1304</v>
      </c>
      <c r="J41" s="684">
        <f>výdavky!G163</f>
        <v>600</v>
      </c>
      <c r="K41" s="684">
        <f>SUM(výdavky!I163)</f>
        <v>600</v>
      </c>
      <c r="L41" s="685">
        <f>výdavky!H163</f>
        <v>600</v>
      </c>
      <c r="M41" s="689">
        <f>výdavky!K163</f>
        <v>600</v>
      </c>
      <c r="N41" s="699">
        <f>výdavky!L163</f>
        <v>600</v>
      </c>
    </row>
    <row r="42" spans="1:14" x14ac:dyDescent="0.2">
      <c r="A42" s="3321">
        <v>36</v>
      </c>
      <c r="B42" s="3355"/>
      <c r="C42" s="3305" t="s">
        <v>215</v>
      </c>
      <c r="D42" s="3306">
        <v>6</v>
      </c>
      <c r="E42" s="3307" t="s">
        <v>631</v>
      </c>
      <c r="F42" s="3356"/>
      <c r="G42" s="3330">
        <f>ROUND(M42/30.126,1)</f>
        <v>0</v>
      </c>
      <c r="H42" s="3308">
        <f>výdavky!E164</f>
        <v>0</v>
      </c>
      <c r="I42" s="3309">
        <f>výdavky!F164</f>
        <v>0</v>
      </c>
      <c r="J42" s="3310">
        <f>výdavky!G164</f>
        <v>0</v>
      </c>
      <c r="K42" s="3310">
        <f>výdavky!I164</f>
        <v>0</v>
      </c>
      <c r="L42" s="3311">
        <f>výdavky!H164</f>
        <v>0</v>
      </c>
      <c r="M42" s="3312">
        <f>výdavky!K164</f>
        <v>0</v>
      </c>
      <c r="N42" s="3308">
        <f>výdavky!L164</f>
        <v>0</v>
      </c>
    </row>
    <row r="43" spans="1:14" x14ac:dyDescent="0.2">
      <c r="A43" s="3320"/>
      <c r="B43" s="1972"/>
      <c r="C43" s="3317"/>
      <c r="D43" s="749" t="s">
        <v>184</v>
      </c>
      <c r="E43" s="812"/>
      <c r="F43" s="3351"/>
      <c r="H43" s="3376">
        <f t="shared" ref="H43:N44" si="11">H44</f>
        <v>0</v>
      </c>
      <c r="I43" s="3380">
        <f t="shared" si="11"/>
        <v>83004</v>
      </c>
      <c r="J43" s="3380">
        <f t="shared" si="11"/>
        <v>0</v>
      </c>
      <c r="K43" s="3380">
        <f t="shared" si="11"/>
        <v>15895</v>
      </c>
      <c r="L43" s="3377">
        <f t="shared" si="11"/>
        <v>0</v>
      </c>
      <c r="M43" s="3377">
        <f t="shared" si="11"/>
        <v>0</v>
      </c>
      <c r="N43" s="3378">
        <f t="shared" si="11"/>
        <v>0</v>
      </c>
    </row>
    <row r="44" spans="1:14" x14ac:dyDescent="0.2">
      <c r="A44" s="3320"/>
      <c r="B44" s="1972"/>
      <c r="C44" s="3318" t="s">
        <v>276</v>
      </c>
      <c r="D44" s="3314" t="s">
        <v>277</v>
      </c>
      <c r="E44" s="3315"/>
      <c r="F44" s="3357"/>
      <c r="G44" s="3299"/>
      <c r="H44" s="3374">
        <f t="shared" si="11"/>
        <v>0</v>
      </c>
      <c r="I44" s="3381">
        <f t="shared" si="11"/>
        <v>83004</v>
      </c>
      <c r="J44" s="3381">
        <f t="shared" si="11"/>
        <v>0</v>
      </c>
      <c r="K44" s="3381">
        <f t="shared" si="11"/>
        <v>15895</v>
      </c>
      <c r="L44" s="3313">
        <f t="shared" si="11"/>
        <v>0</v>
      </c>
      <c r="M44" s="3313">
        <f t="shared" si="11"/>
        <v>0</v>
      </c>
      <c r="N44" s="3375">
        <f t="shared" si="11"/>
        <v>0</v>
      </c>
    </row>
    <row r="45" spans="1:14" ht="13.5" thickBot="1" x14ac:dyDescent="0.25">
      <c r="A45" s="3322"/>
      <c r="B45" s="1973"/>
      <c r="C45" s="3358">
        <v>713</v>
      </c>
      <c r="D45" s="3359">
        <v>7</v>
      </c>
      <c r="E45" s="3360" t="s">
        <v>999</v>
      </c>
      <c r="F45" s="3361"/>
      <c r="G45" s="3299"/>
      <c r="H45" s="3379">
        <f>výdavky!E679</f>
        <v>0</v>
      </c>
      <c r="I45" s="1981">
        <f>výdavky!F679</f>
        <v>83004</v>
      </c>
      <c r="J45" s="1981">
        <f>výdavky!G679</f>
        <v>0</v>
      </c>
      <c r="K45" s="1981">
        <f>výdavky!I679</f>
        <v>15895</v>
      </c>
      <c r="L45" s="3359">
        <f>výdavky!J679</f>
        <v>0</v>
      </c>
      <c r="M45" s="1981">
        <f>výdavky!K679</f>
        <v>0</v>
      </c>
      <c r="N45" s="1982">
        <f>výdavky!L679</f>
        <v>0</v>
      </c>
    </row>
  </sheetData>
  <mergeCells count="5">
    <mergeCell ref="G3:N3"/>
    <mergeCell ref="D4:F6"/>
    <mergeCell ref="C30:E30"/>
    <mergeCell ref="D27:F27"/>
    <mergeCell ref="E29:F29"/>
  </mergeCells>
  <phoneticPr fontId="44" type="noConversion"/>
  <pageMargins left="0.25" right="0.25" top="0.75" bottom="0.75" header="0.3" footer="0.3"/>
  <pageSetup scale="86" firstPageNumber="0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opLeftCell="A5" workbookViewId="0">
      <selection activeCell="A49" sqref="A49"/>
    </sheetView>
  </sheetViews>
  <sheetFormatPr defaultRowHeight="12.75" x14ac:dyDescent="0.2"/>
  <cols>
    <col min="1" max="1" width="2.85546875" style="147" customWidth="1"/>
    <col min="2" max="2" width="4.140625" style="1" customWidth="1"/>
    <col min="3" max="3" width="8" customWidth="1"/>
    <col min="4" max="4" width="3.42578125" customWidth="1"/>
    <col min="5" max="5" width="31.5703125" customWidth="1"/>
    <col min="6" max="6" width="8.85546875" customWidth="1"/>
    <col min="7" max="7" width="0" hidden="1" customWidth="1"/>
    <col min="12" max="14" width="8.42578125" customWidth="1"/>
  </cols>
  <sheetData>
    <row r="1" spans="1:14" ht="15.75" x14ac:dyDescent="0.25">
      <c r="A1" s="151" t="s">
        <v>281</v>
      </c>
      <c r="D1" s="151" t="s">
        <v>282</v>
      </c>
      <c r="E1" s="149"/>
      <c r="F1" s="149"/>
      <c r="G1" s="304" t="e">
        <f>G2-G7</f>
        <v>#REF!</v>
      </c>
      <c r="H1" s="304"/>
      <c r="I1" s="304"/>
      <c r="J1" s="304"/>
      <c r="K1" s="304"/>
      <c r="L1" s="305">
        <f>L2-L7</f>
        <v>0</v>
      </c>
      <c r="M1" s="305">
        <f>M2-M7</f>
        <v>0</v>
      </c>
      <c r="N1" s="305">
        <f>N2-N7</f>
        <v>0</v>
      </c>
    </row>
    <row r="2" spans="1:14" ht="15.75" x14ac:dyDescent="0.25">
      <c r="B2" s="151"/>
      <c r="G2" s="306" t="e">
        <f>SUM(G8:G10)</f>
        <v>#REF!</v>
      </c>
      <c r="H2" s="306"/>
      <c r="I2" s="306"/>
      <c r="J2" s="306"/>
      <c r="K2" s="306"/>
      <c r="L2" s="159">
        <f>SUM(L8:L10)</f>
        <v>154410</v>
      </c>
      <c r="M2" s="159">
        <f>SUM(M8:M10)</f>
        <v>147740</v>
      </c>
      <c r="N2" s="159">
        <f>SUM(N8:N10)</f>
        <v>147740</v>
      </c>
    </row>
    <row r="3" spans="1:14" ht="15.75" x14ac:dyDescent="0.25">
      <c r="A3" s="160"/>
      <c r="B3" s="161"/>
      <c r="C3" s="162"/>
      <c r="D3" s="162"/>
      <c r="E3" s="163"/>
      <c r="F3" s="164"/>
      <c r="G3" s="3713" t="s">
        <v>169</v>
      </c>
      <c r="H3" s="3713"/>
      <c r="I3" s="3713"/>
      <c r="J3" s="3713"/>
      <c r="K3" s="3713"/>
      <c r="L3" s="3713"/>
      <c r="M3" s="3713"/>
      <c r="N3" s="3713"/>
    </row>
    <row r="4" spans="1:14" ht="15.75" customHeight="1" x14ac:dyDescent="0.2">
      <c r="A4" s="165"/>
      <c r="B4" s="166" t="s">
        <v>170</v>
      </c>
      <c r="C4" s="167" t="s">
        <v>171</v>
      </c>
      <c r="D4" s="3716" t="s">
        <v>172</v>
      </c>
      <c r="E4" s="3716"/>
      <c r="F4" s="3716"/>
      <c r="G4" s="168"/>
      <c r="H4" s="890">
        <v>2019</v>
      </c>
      <c r="I4" s="169">
        <v>2020</v>
      </c>
      <c r="J4" s="169" t="s">
        <v>995</v>
      </c>
      <c r="K4" s="169" t="s">
        <v>992</v>
      </c>
      <c r="L4" s="169">
        <v>2022</v>
      </c>
      <c r="M4" s="169">
        <v>2023</v>
      </c>
      <c r="N4" s="169">
        <v>2024</v>
      </c>
    </row>
    <row r="5" spans="1:14" ht="12" customHeight="1" x14ac:dyDescent="0.2">
      <c r="A5" s="165"/>
      <c r="B5" s="166" t="s">
        <v>173</v>
      </c>
      <c r="C5" s="167" t="s">
        <v>174</v>
      </c>
      <c r="D5" s="3716"/>
      <c r="E5" s="3716"/>
      <c r="F5" s="3716"/>
      <c r="G5" s="170" t="s">
        <v>175</v>
      </c>
      <c r="H5" s="307" t="s">
        <v>176</v>
      </c>
      <c r="I5" s="171" t="s">
        <v>177</v>
      </c>
      <c r="J5" s="171" t="s">
        <v>176</v>
      </c>
      <c r="K5" s="171" t="s">
        <v>177</v>
      </c>
      <c r="L5" s="172" t="s">
        <v>176</v>
      </c>
      <c r="M5" s="171" t="s">
        <v>177</v>
      </c>
      <c r="N5" s="171" t="s">
        <v>177</v>
      </c>
    </row>
    <row r="6" spans="1:14" x14ac:dyDescent="0.2">
      <c r="A6" s="308"/>
      <c r="B6" s="309" t="s">
        <v>178</v>
      </c>
      <c r="C6" s="310" t="s">
        <v>179</v>
      </c>
      <c r="D6" s="3716"/>
      <c r="E6" s="3716"/>
      <c r="F6" s="3716"/>
      <c r="G6" s="311">
        <v>1</v>
      </c>
      <c r="H6" s="173">
        <v>-3</v>
      </c>
      <c r="I6" s="312">
        <v>-2</v>
      </c>
      <c r="J6" s="312">
        <v>-1</v>
      </c>
      <c r="K6" s="312">
        <v>-1</v>
      </c>
      <c r="L6" s="357">
        <v>0</v>
      </c>
      <c r="M6" s="312">
        <v>1</v>
      </c>
      <c r="N6" s="312">
        <v>2</v>
      </c>
    </row>
    <row r="7" spans="1:14" ht="15" x14ac:dyDescent="0.25">
      <c r="A7" s="176">
        <v>1</v>
      </c>
      <c r="B7" s="177" t="s">
        <v>283</v>
      </c>
      <c r="C7" s="178"/>
      <c r="D7" s="345"/>
      <c r="E7" s="179" t="s">
        <v>282</v>
      </c>
      <c r="F7" s="346"/>
      <c r="G7" s="358" t="e">
        <f>G11+G20</f>
        <v>#REF!</v>
      </c>
      <c r="H7" s="1823">
        <f>H8+H9+H10</f>
        <v>155453</v>
      </c>
      <c r="I7" s="1824">
        <f>SUM(I8:I10)</f>
        <v>163492</v>
      </c>
      <c r="J7" s="1772">
        <f>J8+J9+J10</f>
        <v>134660</v>
      </c>
      <c r="K7" s="1772">
        <f>SUM(K8:K10)</f>
        <v>166467</v>
      </c>
      <c r="L7" s="1772">
        <f>SUM(L8:L10)</f>
        <v>154410</v>
      </c>
      <c r="M7" s="1772">
        <f>SUM(M8:M10)</f>
        <v>147740</v>
      </c>
      <c r="N7" s="1772">
        <f>SUM(N8:N10)</f>
        <v>147740</v>
      </c>
    </row>
    <row r="8" spans="1:14" x14ac:dyDescent="0.2">
      <c r="A8" s="183">
        <f t="shared" ref="A8:A13" si="0">A7+1</f>
        <v>2</v>
      </c>
      <c r="B8" s="184" t="s">
        <v>181</v>
      </c>
      <c r="C8" s="827" t="s">
        <v>182</v>
      </c>
      <c r="D8" s="828"/>
      <c r="E8" s="829"/>
      <c r="F8" s="830"/>
      <c r="G8" s="831" t="e">
        <f>G12+#REF!</f>
        <v>#REF!</v>
      </c>
      <c r="H8" s="946">
        <f>H12+H25+H30+H35</f>
        <v>131614</v>
      </c>
      <c r="I8" s="913">
        <f>SUM(I12,I25,I35,I30)</f>
        <v>134851</v>
      </c>
      <c r="J8" s="832">
        <f>J12+J25+J30+J35</f>
        <v>134660</v>
      </c>
      <c r="K8" s="832">
        <f>SUM(K12,K25,K35,K30)</f>
        <v>166467</v>
      </c>
      <c r="L8" s="832">
        <f>SUM(L12,L25,L30,L35)</f>
        <v>154410</v>
      </c>
      <c r="M8" s="832">
        <f>SUM(M12,M25,M35,M30)</f>
        <v>147740</v>
      </c>
      <c r="N8" s="832">
        <f>SUM(N12,N25,N35,N30)</f>
        <v>147740</v>
      </c>
    </row>
    <row r="9" spans="1:14" x14ac:dyDescent="0.2">
      <c r="A9" s="183">
        <f t="shared" si="0"/>
        <v>3</v>
      </c>
      <c r="B9" s="184" t="s">
        <v>183</v>
      </c>
      <c r="C9" s="936" t="s">
        <v>184</v>
      </c>
      <c r="D9" s="937"/>
      <c r="E9" s="938"/>
      <c r="F9" s="939"/>
      <c r="G9" s="940" t="e">
        <f>G21</f>
        <v>#REF!</v>
      </c>
      <c r="H9" s="953">
        <f>H21+H46</f>
        <v>23839</v>
      </c>
      <c r="I9" s="941">
        <f>SUM(I21,I46)</f>
        <v>28641</v>
      </c>
      <c r="J9" s="942">
        <f>J21+J46</f>
        <v>0</v>
      </c>
      <c r="K9" s="942">
        <f>SUM(K21,K46)</f>
        <v>0</v>
      </c>
      <c r="L9" s="942">
        <f>SUM(L21,L46)</f>
        <v>0</v>
      </c>
      <c r="M9" s="942">
        <f>SUM(M21,M46)</f>
        <v>0</v>
      </c>
      <c r="N9" s="942">
        <f>SUM(N21,N46)</f>
        <v>0</v>
      </c>
    </row>
    <row r="10" spans="1:14" x14ac:dyDescent="0.2">
      <c r="A10" s="183">
        <f t="shared" si="0"/>
        <v>4</v>
      </c>
      <c r="B10" s="187"/>
      <c r="C10" s="855" t="s">
        <v>185</v>
      </c>
      <c r="D10" s="856"/>
      <c r="E10" s="857"/>
      <c r="F10" s="858"/>
      <c r="G10" s="964">
        <v>0</v>
      </c>
      <c r="H10" s="966">
        <v>0</v>
      </c>
      <c r="I10" s="967">
        <v>0</v>
      </c>
      <c r="J10" s="968">
        <v>0</v>
      </c>
      <c r="K10" s="968">
        <v>0</v>
      </c>
      <c r="L10" s="967">
        <v>0</v>
      </c>
      <c r="M10" s="968">
        <v>0</v>
      </c>
      <c r="N10" s="968">
        <v>0</v>
      </c>
    </row>
    <row r="11" spans="1:14" x14ac:dyDescent="0.2">
      <c r="A11" s="183">
        <f t="shared" si="0"/>
        <v>5</v>
      </c>
      <c r="B11" s="284">
        <v>1</v>
      </c>
      <c r="C11" s="285" t="s">
        <v>284</v>
      </c>
      <c r="D11" s="190"/>
      <c r="E11" s="190"/>
      <c r="F11" s="191"/>
      <c r="G11" s="192">
        <f>G13</f>
        <v>5</v>
      </c>
      <c r="H11" s="691">
        <f>H12</f>
        <v>24633</v>
      </c>
      <c r="I11" s="362">
        <f t="shared" ref="I11:N12" si="1">I12</f>
        <v>16100</v>
      </c>
      <c r="J11" s="194">
        <f>J12</f>
        <v>15900</v>
      </c>
      <c r="K11" s="194">
        <f t="shared" si="1"/>
        <v>15050</v>
      </c>
      <c r="L11" s="194">
        <f t="shared" si="1"/>
        <v>16650</v>
      </c>
      <c r="M11" s="194">
        <f t="shared" si="1"/>
        <v>15050</v>
      </c>
      <c r="N11" s="194">
        <f t="shared" si="1"/>
        <v>15050</v>
      </c>
    </row>
    <row r="12" spans="1:14" s="242" customFormat="1" x14ac:dyDescent="0.2">
      <c r="A12" s="183">
        <f t="shared" si="0"/>
        <v>6</v>
      </c>
      <c r="B12" s="286"/>
      <c r="C12" s="276"/>
      <c r="D12" s="186" t="s">
        <v>182</v>
      </c>
      <c r="E12" s="205"/>
      <c r="F12" s="206"/>
      <c r="G12" s="207">
        <f>G13</f>
        <v>5</v>
      </c>
      <c r="H12" s="692">
        <f>H13</f>
        <v>24633</v>
      </c>
      <c r="I12" s="359">
        <f t="shared" si="1"/>
        <v>16100</v>
      </c>
      <c r="J12" s="208">
        <f>J13</f>
        <v>15900</v>
      </c>
      <c r="K12" s="208">
        <f t="shared" si="1"/>
        <v>15050</v>
      </c>
      <c r="L12" s="359">
        <f t="shared" si="1"/>
        <v>16650</v>
      </c>
      <c r="M12" s="208">
        <f t="shared" si="1"/>
        <v>15050</v>
      </c>
      <c r="N12" s="208">
        <f t="shared" si="1"/>
        <v>15050</v>
      </c>
    </row>
    <row r="13" spans="1:14" x14ac:dyDescent="0.2">
      <c r="A13" s="183">
        <f t="shared" si="0"/>
        <v>7</v>
      </c>
      <c r="B13" s="209"/>
      <c r="C13" s="287" t="s">
        <v>285</v>
      </c>
      <c r="D13" s="244" t="s">
        <v>286</v>
      </c>
      <c r="E13" s="212"/>
      <c r="F13" s="213"/>
      <c r="G13" s="246">
        <f>SUM(G17:G17)</f>
        <v>5</v>
      </c>
      <c r="H13" s="693">
        <f>SUM(H14:H19)</f>
        <v>24633</v>
      </c>
      <c r="I13" s="392">
        <f>SUM(I14,I15,I17,I18,I19)+I16</f>
        <v>16100</v>
      </c>
      <c r="J13" s="215">
        <f>SUM(J14:J19)</f>
        <v>15900</v>
      </c>
      <c r="K13" s="215">
        <f>SUM(K14,K15,K17,K18,K19)+K16</f>
        <v>15050</v>
      </c>
      <c r="L13" s="215">
        <f>SUM(L14,L15,L17,L18,L19)+L16</f>
        <v>16650</v>
      </c>
      <c r="M13" s="215">
        <f>SUM(M14,M15,M17,M18,M19)+M16</f>
        <v>15050</v>
      </c>
      <c r="N13" s="215">
        <f>SUM(N14,N15,N17,N18,N19)+N16</f>
        <v>15050</v>
      </c>
    </row>
    <row r="14" spans="1:14" x14ac:dyDescent="0.2">
      <c r="A14" s="183">
        <v>8</v>
      </c>
      <c r="B14" s="209"/>
      <c r="C14" s="217" t="s">
        <v>191</v>
      </c>
      <c r="D14" s="248">
        <v>1</v>
      </c>
      <c r="E14" s="249" t="s">
        <v>287</v>
      </c>
      <c r="F14" s="250"/>
      <c r="G14" s="268"/>
      <c r="H14" s="694">
        <f>výdavky!E205</f>
        <v>18202</v>
      </c>
      <c r="I14" s="360">
        <f>výdavky!F205</f>
        <v>11814</v>
      </c>
      <c r="J14" s="222">
        <f>výdavky!G205</f>
        <v>11000</v>
      </c>
      <c r="K14" s="222">
        <f>výdavky!I205</f>
        <v>11000</v>
      </c>
      <c r="L14" s="360">
        <f>výdavky!J205</f>
        <v>11000</v>
      </c>
      <c r="M14" s="222">
        <f>výdavky!K205</f>
        <v>11000</v>
      </c>
      <c r="N14" s="222">
        <f>výdavky!L205</f>
        <v>11000</v>
      </c>
    </row>
    <row r="15" spans="1:14" x14ac:dyDescent="0.2">
      <c r="A15" s="183">
        <v>9</v>
      </c>
      <c r="B15" s="209"/>
      <c r="C15" s="217" t="s">
        <v>193</v>
      </c>
      <c r="D15" s="252">
        <v>2</v>
      </c>
      <c r="E15" s="253" t="s">
        <v>194</v>
      </c>
      <c r="F15" s="254"/>
      <c r="G15" s="235"/>
      <c r="H15" s="695">
        <f>výdavky!E207+výdavky!E208</f>
        <v>6226</v>
      </c>
      <c r="I15" s="361">
        <f>výdavky!F207</f>
        <v>3969</v>
      </c>
      <c r="J15" s="227">
        <f>výdavky!G207</f>
        <v>3800</v>
      </c>
      <c r="K15" s="227">
        <f>výdavky!I207</f>
        <v>3800</v>
      </c>
      <c r="L15" s="361">
        <f>výdavky!J207</f>
        <v>3800</v>
      </c>
      <c r="M15" s="227">
        <f>výdavky!K207</f>
        <v>3800</v>
      </c>
      <c r="N15" s="227">
        <f>výdavky!L207</f>
        <v>3800</v>
      </c>
    </row>
    <row r="16" spans="1:14" x14ac:dyDescent="0.2">
      <c r="A16" s="183">
        <v>10</v>
      </c>
      <c r="B16" s="209"/>
      <c r="C16" s="217" t="s">
        <v>197</v>
      </c>
      <c r="D16" s="844">
        <v>3</v>
      </c>
      <c r="E16" s="845" t="s">
        <v>198</v>
      </c>
      <c r="F16" s="846"/>
      <c r="G16" s="847"/>
      <c r="H16" s="1043">
        <f>výdavky!E209</f>
        <v>96</v>
      </c>
      <c r="I16" s="849">
        <f>výdavky!F209</f>
        <v>72</v>
      </c>
      <c r="J16" s="848">
        <f>výdavky!G209</f>
        <v>100</v>
      </c>
      <c r="K16" s="848">
        <f>výdavky!I209</f>
        <v>100</v>
      </c>
      <c r="L16" s="849">
        <f>výdavky!J209</f>
        <v>100</v>
      </c>
      <c r="M16" s="848">
        <f>výdavky!K209</f>
        <v>100</v>
      </c>
      <c r="N16" s="848">
        <f>výdavky!L209</f>
        <v>100</v>
      </c>
    </row>
    <row r="17" spans="1:14" x14ac:dyDescent="0.2">
      <c r="A17" s="183">
        <v>11</v>
      </c>
      <c r="B17" s="209"/>
      <c r="C17" s="217" t="s">
        <v>199</v>
      </c>
      <c r="D17" s="261" t="s">
        <v>231</v>
      </c>
      <c r="E17" s="219" t="s">
        <v>200</v>
      </c>
      <c r="F17" s="262"/>
      <c r="G17" s="268">
        <f>ROUND(M17/30.126,1)</f>
        <v>5</v>
      </c>
      <c r="H17" s="694">
        <f>výdavky!E210+výdavky!E211</f>
        <v>109</v>
      </c>
      <c r="I17" s="360">
        <f>výdavky!F211+výdavky!F210</f>
        <v>245</v>
      </c>
      <c r="J17" s="222">
        <f>výdavky!G211+výdavky!G210</f>
        <v>1000</v>
      </c>
      <c r="K17" s="222">
        <f>výdavky!I211+výdavky!I210</f>
        <v>150</v>
      </c>
      <c r="L17" s="360">
        <f>výdavky!J211+výdavky!J210</f>
        <v>150</v>
      </c>
      <c r="M17" s="222">
        <f>výdavky!K211+výdavky!K210</f>
        <v>150</v>
      </c>
      <c r="N17" s="222">
        <f>výdavky!L211+výdavky!L210</f>
        <v>150</v>
      </c>
    </row>
    <row r="18" spans="1:14" x14ac:dyDescent="0.2">
      <c r="A18" s="183">
        <f>A17+1</f>
        <v>12</v>
      </c>
      <c r="B18" s="209"/>
      <c r="C18" s="217" t="s">
        <v>201</v>
      </c>
      <c r="D18" s="266" t="s">
        <v>233</v>
      </c>
      <c r="E18" s="228" t="s">
        <v>288</v>
      </c>
      <c r="F18" s="234"/>
      <c r="G18" s="235"/>
      <c r="H18" s="695">
        <f>výdavky!E212</f>
        <v>0</v>
      </c>
      <c r="I18" s="361">
        <f>výdavky!F212</f>
        <v>0</v>
      </c>
      <c r="J18" s="227">
        <f>výdavky!G212</f>
        <v>0</v>
      </c>
      <c r="K18" s="227">
        <f>výdavky!I212</f>
        <v>0</v>
      </c>
      <c r="L18" s="361">
        <f>výdavky!J212</f>
        <v>0</v>
      </c>
      <c r="M18" s="227">
        <f>výdavky!K212</f>
        <v>0</v>
      </c>
      <c r="N18" s="227">
        <f>výdavky!L212</f>
        <v>0</v>
      </c>
    </row>
    <row r="19" spans="1:14" x14ac:dyDescent="0.2">
      <c r="A19" s="183">
        <f>A18+1</f>
        <v>13</v>
      </c>
      <c r="B19" s="209"/>
      <c r="C19" s="217" t="s">
        <v>207</v>
      </c>
      <c r="D19" s="266" t="s">
        <v>237</v>
      </c>
      <c r="E19" s="228" t="s">
        <v>208</v>
      </c>
      <c r="F19" s="234"/>
      <c r="G19" s="235"/>
      <c r="H19" s="695">
        <f>výdavky!E213</f>
        <v>0</v>
      </c>
      <c r="I19" s="361">
        <f>výdavky!F213</f>
        <v>0</v>
      </c>
      <c r="J19" s="227">
        <f>výdavky!G213</f>
        <v>0</v>
      </c>
      <c r="K19" s="227">
        <f>výdavky!I213</f>
        <v>0</v>
      </c>
      <c r="L19" s="361">
        <f>výdavky!J213</f>
        <v>1600</v>
      </c>
      <c r="M19" s="227">
        <f>výdavky!K213</f>
        <v>0</v>
      </c>
      <c r="N19" s="227">
        <f>výdavky!L213</f>
        <v>0</v>
      </c>
    </row>
    <row r="20" spans="1:14" x14ac:dyDescent="0.2">
      <c r="A20" s="183">
        <v>14</v>
      </c>
      <c r="B20" s="284">
        <v>2</v>
      </c>
      <c r="C20" s="285" t="s">
        <v>289</v>
      </c>
      <c r="D20" s="190"/>
      <c r="E20" s="190"/>
      <c r="F20" s="191"/>
      <c r="G20" s="192" t="e">
        <f>#REF!+G22</f>
        <v>#REF!</v>
      </c>
      <c r="H20" s="691">
        <f>H21+H25</f>
        <v>23839</v>
      </c>
      <c r="I20" s="362">
        <f>I21+SUM(I21,I25)</f>
        <v>58606</v>
      </c>
      <c r="J20" s="194">
        <f>J21+J25</f>
        <v>3000</v>
      </c>
      <c r="K20" s="194">
        <f>K21+SUM(K21,K25)</f>
        <v>3000</v>
      </c>
      <c r="L20" s="362">
        <f>L21+SUM(L21,L25)</f>
        <v>3000</v>
      </c>
      <c r="M20" s="194">
        <f>M21+SUM(M21,M25)</f>
        <v>3000</v>
      </c>
      <c r="N20" s="194">
        <f>N21+SUM(N21,N25)</f>
        <v>3000</v>
      </c>
    </row>
    <row r="21" spans="1:14" x14ac:dyDescent="0.2">
      <c r="A21" s="183">
        <f t="shared" ref="A21:A32" si="2">A20+1</f>
        <v>15</v>
      </c>
      <c r="B21" s="209"/>
      <c r="C21" s="217"/>
      <c r="D21" s="749" t="s">
        <v>184</v>
      </c>
      <c r="E21" s="753"/>
      <c r="F21" s="758"/>
      <c r="G21" s="759" t="e">
        <f t="shared" ref="G21:N21" si="3">G22</f>
        <v>#REF!</v>
      </c>
      <c r="H21" s="765">
        <f>H22</f>
        <v>23839</v>
      </c>
      <c r="I21" s="761">
        <f t="shared" si="3"/>
        <v>28641</v>
      </c>
      <c r="J21" s="760">
        <f>J22</f>
        <v>0</v>
      </c>
      <c r="K21" s="760">
        <f t="shared" si="3"/>
        <v>0</v>
      </c>
      <c r="L21" s="761">
        <f t="shared" si="3"/>
        <v>0</v>
      </c>
      <c r="M21" s="760">
        <f t="shared" si="3"/>
        <v>0</v>
      </c>
      <c r="N21" s="760">
        <f t="shared" si="3"/>
        <v>0</v>
      </c>
    </row>
    <row r="22" spans="1:14" x14ac:dyDescent="0.2">
      <c r="A22" s="183">
        <f t="shared" si="2"/>
        <v>16</v>
      </c>
      <c r="B22" s="209"/>
      <c r="C22" s="287" t="s">
        <v>290</v>
      </c>
      <c r="D22" s="244" t="s">
        <v>291</v>
      </c>
      <c r="E22" s="212"/>
      <c r="F22" s="363"/>
      <c r="G22" s="259" t="e">
        <f>SUM(G25:G32)</f>
        <v>#REF!</v>
      </c>
      <c r="H22" s="697">
        <f>H23+H24</f>
        <v>23839</v>
      </c>
      <c r="I22" s="897">
        <f>SUM(I23,I24)</f>
        <v>28641</v>
      </c>
      <c r="J22" s="260">
        <f>J23+J24</f>
        <v>0</v>
      </c>
      <c r="K22" s="260">
        <f>SUM(K23,K24)</f>
        <v>0</v>
      </c>
      <c r="L22" s="260">
        <f>SUM(L23,L24)</f>
        <v>0</v>
      </c>
      <c r="M22" s="260">
        <f>SUM(M23,M24)</f>
        <v>0</v>
      </c>
      <c r="N22" s="260">
        <f>SUM(N23,N24)</f>
        <v>0</v>
      </c>
    </row>
    <row r="23" spans="1:14" x14ac:dyDescent="0.2">
      <c r="A23" s="183">
        <f t="shared" si="2"/>
        <v>17</v>
      </c>
      <c r="B23" s="209"/>
      <c r="C23" s="267" t="s">
        <v>292</v>
      </c>
      <c r="D23" s="261" t="s">
        <v>216</v>
      </c>
      <c r="E23" s="249" t="s">
        <v>682</v>
      </c>
      <c r="F23" s="250"/>
      <c r="G23" s="268"/>
      <c r="H23" s="694">
        <f>výdavky!E687</f>
        <v>0</v>
      </c>
      <c r="I23" s="360">
        <f>výdavky!F686</f>
        <v>28641</v>
      </c>
      <c r="J23" s="222">
        <f>výdavky!G687</f>
        <v>0</v>
      </c>
      <c r="K23" s="222">
        <f>výdavky!I686</f>
        <v>0</v>
      </c>
      <c r="L23" s="364">
        <f>výdavky!J687</f>
        <v>0</v>
      </c>
      <c r="M23" s="222">
        <v>0</v>
      </c>
      <c r="N23" s="222">
        <v>0</v>
      </c>
    </row>
    <row r="24" spans="1:14" x14ac:dyDescent="0.2">
      <c r="A24" s="183">
        <f t="shared" si="2"/>
        <v>18</v>
      </c>
      <c r="B24" s="209"/>
      <c r="C24" s="267" t="s">
        <v>292</v>
      </c>
      <c r="D24" s="266" t="s">
        <v>218</v>
      </c>
      <c r="E24" s="253" t="s">
        <v>293</v>
      </c>
      <c r="F24" s="254"/>
      <c r="G24" s="235"/>
      <c r="H24" s="695">
        <f>výdavky!E686</f>
        <v>23839</v>
      </c>
      <c r="I24" s="361">
        <v>0</v>
      </c>
      <c r="J24" s="227">
        <f>výdavky!G689</f>
        <v>0</v>
      </c>
      <c r="K24" s="227">
        <f>výdavky!I689</f>
        <v>0</v>
      </c>
      <c r="L24" s="365">
        <f>výdavky!J687</f>
        <v>0</v>
      </c>
      <c r="M24" s="227">
        <v>0</v>
      </c>
      <c r="N24" s="227">
        <v>0</v>
      </c>
    </row>
    <row r="25" spans="1:14" x14ac:dyDescent="0.2">
      <c r="A25" s="183">
        <f t="shared" si="2"/>
        <v>19</v>
      </c>
      <c r="B25" s="216"/>
      <c r="C25" s="217"/>
      <c r="D25" s="3723" t="s">
        <v>182</v>
      </c>
      <c r="E25" s="3723"/>
      <c r="F25" s="366"/>
      <c r="G25" s="367"/>
      <c r="H25" s="1044">
        <f>H26</f>
        <v>0</v>
      </c>
      <c r="I25" s="908">
        <f>SUM(I26)</f>
        <v>1324</v>
      </c>
      <c r="J25" s="368">
        <f>J26</f>
        <v>3000</v>
      </c>
      <c r="K25" s="368">
        <f>SUM(K26)</f>
        <v>3000</v>
      </c>
      <c r="L25" s="359">
        <f>SUM(L26)</f>
        <v>3000</v>
      </c>
      <c r="M25" s="368">
        <f>SUM(M26)</f>
        <v>3000</v>
      </c>
      <c r="N25" s="368">
        <f>SUM(N26)</f>
        <v>3000</v>
      </c>
    </row>
    <row r="26" spans="1:14" x14ac:dyDescent="0.2">
      <c r="A26" s="183">
        <f t="shared" si="2"/>
        <v>20</v>
      </c>
      <c r="B26" s="216"/>
      <c r="C26" s="287" t="s">
        <v>290</v>
      </c>
      <c r="D26" s="244" t="s">
        <v>291</v>
      </c>
      <c r="E26" s="212"/>
      <c r="F26" s="363"/>
      <c r="G26" s="259" t="e">
        <f>SUM(G29:G32)</f>
        <v>#REF!</v>
      </c>
      <c r="H26" s="697">
        <f>H27+H28</f>
        <v>0</v>
      </c>
      <c r="I26" s="897">
        <f>SUM(I27,I28)</f>
        <v>1324</v>
      </c>
      <c r="J26" s="260">
        <f>J27+J28</f>
        <v>3000</v>
      </c>
      <c r="K26" s="260">
        <f>SUM(K27,K28)</f>
        <v>3000</v>
      </c>
      <c r="L26" s="260">
        <f>SUM(L27,L28)</f>
        <v>3000</v>
      </c>
      <c r="M26" s="260">
        <f>SUM(M27,M28)</f>
        <v>3000</v>
      </c>
      <c r="N26" s="260">
        <f>SUM(N27,N28)</f>
        <v>3000</v>
      </c>
    </row>
    <row r="27" spans="1:14" x14ac:dyDescent="0.2">
      <c r="A27" s="183">
        <f t="shared" si="2"/>
        <v>21</v>
      </c>
      <c r="B27" s="216"/>
      <c r="C27" s="369">
        <v>633</v>
      </c>
      <c r="D27" s="261" t="s">
        <v>229</v>
      </c>
      <c r="E27" s="249" t="s">
        <v>200</v>
      </c>
      <c r="F27" s="249"/>
      <c r="G27" s="249"/>
      <c r="H27" s="1045">
        <f>výdavky!E220</f>
        <v>0</v>
      </c>
      <c r="I27" s="360">
        <f>výdavky!F221</f>
        <v>1324</v>
      </c>
      <c r="J27" s="222">
        <f>výdavky!G220+výdavky!G221</f>
        <v>3000</v>
      </c>
      <c r="K27" s="222">
        <f>výdavky!I221</f>
        <v>3000</v>
      </c>
      <c r="L27" s="364">
        <f>výdavky!J221</f>
        <v>3000</v>
      </c>
      <c r="M27" s="222">
        <f>výdavky!K221</f>
        <v>3000</v>
      </c>
      <c r="N27" s="222">
        <f>výdavky!L221</f>
        <v>3000</v>
      </c>
    </row>
    <row r="28" spans="1:14" x14ac:dyDescent="0.2">
      <c r="A28" s="183">
        <f t="shared" si="2"/>
        <v>22</v>
      </c>
      <c r="B28" s="216"/>
      <c r="C28" s="369">
        <v>635</v>
      </c>
      <c r="D28" s="266" t="s">
        <v>231</v>
      </c>
      <c r="E28" s="253" t="s">
        <v>294</v>
      </c>
      <c r="F28" s="370"/>
      <c r="G28" s="235"/>
      <c r="H28" s="695">
        <f>výdavky!E222</f>
        <v>0</v>
      </c>
      <c r="I28" s="361">
        <f>výdavky!F222</f>
        <v>0</v>
      </c>
      <c r="J28" s="227">
        <f>výdavky!G222</f>
        <v>0</v>
      </c>
      <c r="K28" s="227">
        <f>výdavky!I222</f>
        <v>0</v>
      </c>
      <c r="L28" s="365">
        <f>výdavky!J222</f>
        <v>0</v>
      </c>
      <c r="M28" s="227">
        <f>výdavky!K222</f>
        <v>0</v>
      </c>
      <c r="N28" s="227">
        <f>výdavky!L222</f>
        <v>0</v>
      </c>
    </row>
    <row r="29" spans="1:14" x14ac:dyDescent="0.2">
      <c r="A29" s="183">
        <f t="shared" si="2"/>
        <v>23</v>
      </c>
      <c r="B29" s="284">
        <v>3</v>
      </c>
      <c r="C29" s="285" t="s">
        <v>295</v>
      </c>
      <c r="D29" s="190"/>
      <c r="E29" s="190"/>
      <c r="F29" s="191"/>
      <c r="G29" s="192" t="e">
        <f>#REF!+G32</f>
        <v>#REF!</v>
      </c>
      <c r="H29" s="691">
        <f>H30</f>
        <v>502</v>
      </c>
      <c r="I29" s="362">
        <f>SUM(I30)</f>
        <v>0</v>
      </c>
      <c r="J29" s="194">
        <f>J30</f>
        <v>0</v>
      </c>
      <c r="K29" s="194">
        <f>SUM(K30)</f>
        <v>497</v>
      </c>
      <c r="L29" s="194">
        <f>SUM(L30)</f>
        <v>1000</v>
      </c>
      <c r="M29" s="194">
        <f>SUM(M30)</f>
        <v>1000</v>
      </c>
      <c r="N29" s="194">
        <f>SUM(N30)</f>
        <v>1000</v>
      </c>
    </row>
    <row r="30" spans="1:14" x14ac:dyDescent="0.2">
      <c r="A30" s="183">
        <f t="shared" si="2"/>
        <v>24</v>
      </c>
      <c r="B30" s="286"/>
      <c r="C30" s="276"/>
      <c r="D30" s="186" t="s">
        <v>182</v>
      </c>
      <c r="E30" s="205"/>
      <c r="F30" s="206"/>
      <c r="G30" s="207">
        <f t="shared" ref="G30:N30" si="4">G31</f>
        <v>0</v>
      </c>
      <c r="H30" s="692">
        <f>H31</f>
        <v>502</v>
      </c>
      <c r="I30" s="359">
        <f t="shared" si="4"/>
        <v>0</v>
      </c>
      <c r="J30" s="208">
        <f>J31</f>
        <v>0</v>
      </c>
      <c r="K30" s="208">
        <f t="shared" si="4"/>
        <v>497</v>
      </c>
      <c r="L30" s="359">
        <f t="shared" si="4"/>
        <v>1000</v>
      </c>
      <c r="M30" s="208">
        <f t="shared" si="4"/>
        <v>1000</v>
      </c>
      <c r="N30" s="208">
        <f t="shared" si="4"/>
        <v>1000</v>
      </c>
    </row>
    <row r="31" spans="1:14" s="373" customFormat="1" x14ac:dyDescent="0.2">
      <c r="A31" s="183">
        <f t="shared" si="2"/>
        <v>25</v>
      </c>
      <c r="B31" s="371"/>
      <c r="C31" s="287" t="s">
        <v>296</v>
      </c>
      <c r="D31" s="244" t="s">
        <v>295</v>
      </c>
      <c r="E31" s="212"/>
      <c r="F31" s="372"/>
      <c r="G31" s="246"/>
      <c r="H31" s="693">
        <f>H32+H33</f>
        <v>502</v>
      </c>
      <c r="I31" s="392">
        <f>SUM(I32:I32)</f>
        <v>0</v>
      </c>
      <c r="J31" s="215">
        <f>J32+J33</f>
        <v>0</v>
      </c>
      <c r="K31" s="215">
        <f>SUM(K32:K32)</f>
        <v>497</v>
      </c>
      <c r="L31" s="215">
        <f>SUM(L32:L33)</f>
        <v>1000</v>
      </c>
      <c r="M31" s="215">
        <f>SUM(M32:M32)</f>
        <v>1000</v>
      </c>
      <c r="N31" s="215">
        <f>SUM(N32:N32)</f>
        <v>1000</v>
      </c>
    </row>
    <row r="32" spans="1:14" x14ac:dyDescent="0.2">
      <c r="A32" s="183">
        <f t="shared" si="2"/>
        <v>26</v>
      </c>
      <c r="B32" s="374"/>
      <c r="C32" s="267" t="s">
        <v>207</v>
      </c>
      <c r="D32" s="261" t="s">
        <v>216</v>
      </c>
      <c r="E32" s="349" t="s">
        <v>297</v>
      </c>
      <c r="F32" s="375"/>
      <c r="G32" s="268">
        <f>ROUND(M32/30.126,1)</f>
        <v>33.200000000000003</v>
      </c>
      <c r="H32" s="694">
        <f>výdavky!E216</f>
        <v>0</v>
      </c>
      <c r="I32" s="360">
        <f>výdavky!F217</f>
        <v>0</v>
      </c>
      <c r="J32" s="222">
        <f>výdavky!G217</f>
        <v>0</v>
      </c>
      <c r="K32" s="222">
        <f>výdavky!I217</f>
        <v>497</v>
      </c>
      <c r="L32" s="364">
        <f>výdavky!J216</f>
        <v>0</v>
      </c>
      <c r="M32" s="222">
        <f>výdavky!K217</f>
        <v>1000</v>
      </c>
      <c r="N32" s="222">
        <f>výdavky!L217</f>
        <v>1000</v>
      </c>
    </row>
    <row r="33" spans="1:14" x14ac:dyDescent="0.2">
      <c r="A33" s="183">
        <v>27</v>
      </c>
      <c r="B33" s="376"/>
      <c r="C33" s="377">
        <v>637</v>
      </c>
      <c r="D33" s="223">
        <v>2</v>
      </c>
      <c r="E33" s="378" t="s">
        <v>327</v>
      </c>
      <c r="F33" s="379"/>
      <c r="G33" s="235"/>
      <c r="H33" s="695">
        <f>výdavky!E217</f>
        <v>502</v>
      </c>
      <c r="I33" s="361">
        <f>výdavky!F217</f>
        <v>0</v>
      </c>
      <c r="J33" s="227">
        <f>výdavky!G217</f>
        <v>0</v>
      </c>
      <c r="K33" s="227">
        <v>0</v>
      </c>
      <c r="L33" s="365">
        <f>výdavky!J217</f>
        <v>1000</v>
      </c>
      <c r="M33" s="227"/>
      <c r="N33" s="227"/>
    </row>
    <row r="34" spans="1:14" x14ac:dyDescent="0.2">
      <c r="A34" s="183">
        <v>28</v>
      </c>
      <c r="B34" s="380">
        <v>4</v>
      </c>
      <c r="C34" s="285" t="s">
        <v>298</v>
      </c>
      <c r="D34" s="381"/>
      <c r="E34" s="381"/>
      <c r="F34" s="382"/>
      <c r="G34" s="383" t="e">
        <f>#REF!+#REF!</f>
        <v>#REF!</v>
      </c>
      <c r="H34" s="1046">
        <f>H35+H46</f>
        <v>106479</v>
      </c>
      <c r="I34" s="362">
        <f>SUM(I35+I46)</f>
        <v>117427</v>
      </c>
      <c r="J34" s="194">
        <f>J35+J46</f>
        <v>115760</v>
      </c>
      <c r="K34" s="194">
        <f>SUM(K35+K46)</f>
        <v>147920</v>
      </c>
      <c r="L34" s="362">
        <f>SUM(L35+L46)</f>
        <v>133760</v>
      </c>
      <c r="M34" s="194">
        <f>SUM(M35+M46)</f>
        <v>128690</v>
      </c>
      <c r="N34" s="194">
        <f>SUM(N35+N46)</f>
        <v>128690</v>
      </c>
    </row>
    <row r="35" spans="1:14" x14ac:dyDescent="0.2">
      <c r="A35" s="183">
        <f t="shared" ref="A35:A44" si="5">A34+1</f>
        <v>29</v>
      </c>
      <c r="B35" s="286"/>
      <c r="C35" s="276"/>
      <c r="D35" s="186" t="s">
        <v>182</v>
      </c>
      <c r="E35" s="205"/>
      <c r="F35" s="206"/>
      <c r="G35" s="207" t="e">
        <f>G36+G47</f>
        <v>#REF!</v>
      </c>
      <c r="H35" s="692">
        <f t="shared" ref="H35:N35" si="6">H36</f>
        <v>106479</v>
      </c>
      <c r="I35" s="359">
        <f t="shared" si="6"/>
        <v>117427</v>
      </c>
      <c r="J35" s="208">
        <f t="shared" si="6"/>
        <v>115760</v>
      </c>
      <c r="K35" s="208">
        <f t="shared" si="6"/>
        <v>147920</v>
      </c>
      <c r="L35" s="359">
        <f t="shared" si="6"/>
        <v>133760</v>
      </c>
      <c r="M35" s="208">
        <f t="shared" si="6"/>
        <v>128690</v>
      </c>
      <c r="N35" s="208">
        <f t="shared" si="6"/>
        <v>128690</v>
      </c>
    </row>
    <row r="36" spans="1:14" x14ac:dyDescent="0.2">
      <c r="A36" s="183">
        <f t="shared" si="5"/>
        <v>30</v>
      </c>
      <c r="B36" s="209"/>
      <c r="C36" s="287" t="s">
        <v>299</v>
      </c>
      <c r="D36" s="211" t="s">
        <v>300</v>
      </c>
      <c r="E36" s="212"/>
      <c r="F36" s="213"/>
      <c r="G36" s="246">
        <f>SUM(G37:G44)</f>
        <v>2680.4</v>
      </c>
      <c r="H36" s="693">
        <f>SUM(H37:H45)</f>
        <v>106479</v>
      </c>
      <c r="I36" s="392">
        <f>SUM(I37:I44)+I45</f>
        <v>117427</v>
      </c>
      <c r="J36" s="215">
        <f>SUM(J37:J45)</f>
        <v>115760</v>
      </c>
      <c r="K36" s="215">
        <f>SUM(K37:K44)+K45</f>
        <v>147920</v>
      </c>
      <c r="L36" s="215">
        <f>SUM(L37:L44)+L45</f>
        <v>133760</v>
      </c>
      <c r="M36" s="215">
        <f>SUM(M37:M44)+M45</f>
        <v>128690</v>
      </c>
      <c r="N36" s="215">
        <f>SUM(N37:N44)+N45</f>
        <v>128690</v>
      </c>
    </row>
    <row r="37" spans="1:14" x14ac:dyDescent="0.2">
      <c r="A37" s="183">
        <f t="shared" si="5"/>
        <v>31</v>
      </c>
      <c r="B37" s="216"/>
      <c r="C37" s="267" t="s">
        <v>191</v>
      </c>
      <c r="D37" s="261" t="s">
        <v>216</v>
      </c>
      <c r="E37" s="219" t="s">
        <v>287</v>
      </c>
      <c r="F37" s="262"/>
      <c r="G37" s="268">
        <f>ROUND(M37/30.126,1)</f>
        <v>2655.5</v>
      </c>
      <c r="H37" s="694">
        <f>výdavky!E185+výdavky!E186</f>
        <v>58675</v>
      </c>
      <c r="I37" s="360">
        <f>výdavky!F185+výdavky!F186</f>
        <v>71299</v>
      </c>
      <c r="J37" s="222">
        <f>výdavky!G185+výdavky!G186</f>
        <v>73000</v>
      </c>
      <c r="K37" s="222">
        <f>výdavky!I185+výdavky!I186</f>
        <v>84000</v>
      </c>
      <c r="L37" s="360">
        <f>výdavky!J185+výdavky!J186</f>
        <v>84000</v>
      </c>
      <c r="M37" s="222">
        <f>výdavky!K185</f>
        <v>80000</v>
      </c>
      <c r="N37" s="222">
        <f>výdavky!L185</f>
        <v>80000</v>
      </c>
    </row>
    <row r="38" spans="1:14" x14ac:dyDescent="0.2">
      <c r="A38" s="183">
        <f t="shared" si="5"/>
        <v>32</v>
      </c>
      <c r="B38" s="216"/>
      <c r="C38" s="267" t="s">
        <v>193</v>
      </c>
      <c r="D38" s="266" t="s">
        <v>218</v>
      </c>
      <c r="E38" s="228" t="s">
        <v>194</v>
      </c>
      <c r="F38" s="234"/>
      <c r="G38" s="235"/>
      <c r="H38" s="695">
        <f>výdavky!E187</f>
        <v>20699</v>
      </c>
      <c r="I38" s="361">
        <f>výdavky!F187</f>
        <v>25688</v>
      </c>
      <c r="J38" s="227">
        <f>výdavky!G187</f>
        <v>26050</v>
      </c>
      <c r="K38" s="227">
        <f>výdavky!I187</f>
        <v>29000</v>
      </c>
      <c r="L38" s="361">
        <f>výdavky!J187</f>
        <v>29000</v>
      </c>
      <c r="M38" s="227">
        <f>výdavky!K187</f>
        <v>27180</v>
      </c>
      <c r="N38" s="227">
        <f>výdavky!L187</f>
        <v>27180</v>
      </c>
    </row>
    <row r="39" spans="1:14" x14ac:dyDescent="0.2">
      <c r="A39" s="183">
        <f t="shared" si="5"/>
        <v>33</v>
      </c>
      <c r="B39" s="216"/>
      <c r="C39" s="267" t="s">
        <v>197</v>
      </c>
      <c r="D39" s="261" t="s">
        <v>229</v>
      </c>
      <c r="E39" s="219" t="s">
        <v>198</v>
      </c>
      <c r="F39" s="262"/>
      <c r="G39" s="268">
        <f>ROUND(M39/30.126,1)</f>
        <v>24.9</v>
      </c>
      <c r="H39" s="694">
        <f>výdavky!E188</f>
        <v>622</v>
      </c>
      <c r="I39" s="360">
        <f>výdavky!F188</f>
        <v>592</v>
      </c>
      <c r="J39" s="222">
        <f>výdavky!G188</f>
        <v>750</v>
      </c>
      <c r="K39" s="222">
        <f>výdavky!I188</f>
        <v>750</v>
      </c>
      <c r="L39" s="360">
        <f>výdavky!J188</f>
        <v>750</v>
      </c>
      <c r="M39" s="222">
        <f>výdavky!K188</f>
        <v>750</v>
      </c>
      <c r="N39" s="222">
        <f>výdavky!L188</f>
        <v>750</v>
      </c>
    </row>
    <row r="40" spans="1:14" x14ac:dyDescent="0.2">
      <c r="A40" s="183">
        <f t="shared" si="5"/>
        <v>34</v>
      </c>
      <c r="B40" s="216"/>
      <c r="C40" s="267" t="s">
        <v>199</v>
      </c>
      <c r="D40" s="266" t="s">
        <v>231</v>
      </c>
      <c r="E40" s="228" t="s">
        <v>200</v>
      </c>
      <c r="F40" s="234"/>
      <c r="G40" s="235"/>
      <c r="H40" s="695">
        <f>výdavky!E189</f>
        <v>9894</v>
      </c>
      <c r="I40" s="361">
        <f>výdavky!F189</f>
        <v>8979</v>
      </c>
      <c r="J40" s="227">
        <f>výdavky!G189</f>
        <v>9400</v>
      </c>
      <c r="K40" s="227">
        <f>výdavky!I189</f>
        <v>28960</v>
      </c>
      <c r="L40" s="361">
        <f>výdavky!J189</f>
        <v>14800</v>
      </c>
      <c r="M40" s="227">
        <f>výdavky!K189</f>
        <v>14200</v>
      </c>
      <c r="N40" s="227">
        <f>výdavky!L189</f>
        <v>14200</v>
      </c>
    </row>
    <row r="41" spans="1:14" x14ac:dyDescent="0.2">
      <c r="A41" s="183">
        <f t="shared" si="5"/>
        <v>35</v>
      </c>
      <c r="B41" s="216"/>
      <c r="C41" s="267" t="s">
        <v>201</v>
      </c>
      <c r="D41" s="261" t="s">
        <v>233</v>
      </c>
      <c r="E41" s="219" t="s">
        <v>202</v>
      </c>
      <c r="F41" s="262"/>
      <c r="G41" s="268"/>
      <c r="H41" s="694">
        <f>výdavky!E195</f>
        <v>7189</v>
      </c>
      <c r="I41" s="360">
        <f>výdavky!F195</f>
        <v>4290</v>
      </c>
      <c r="J41" s="222">
        <f>výdavky!G195</f>
        <v>2100</v>
      </c>
      <c r="K41" s="222">
        <f>výdavky!I195</f>
        <v>750</v>
      </c>
      <c r="L41" s="360">
        <f>výdavky!J195</f>
        <v>750</v>
      </c>
      <c r="M41" s="222">
        <f>výdavky!K195</f>
        <v>2100</v>
      </c>
      <c r="N41" s="222">
        <f>výdavky!L195</f>
        <v>2100</v>
      </c>
    </row>
    <row r="42" spans="1:14" x14ac:dyDescent="0.2">
      <c r="A42" s="183">
        <f t="shared" si="5"/>
        <v>36</v>
      </c>
      <c r="B42" s="216"/>
      <c r="C42" s="267" t="s">
        <v>203</v>
      </c>
      <c r="D42" s="266" t="s">
        <v>237</v>
      </c>
      <c r="E42" s="228" t="s">
        <v>301</v>
      </c>
      <c r="F42" s="234"/>
      <c r="G42" s="235"/>
      <c r="H42" s="695">
        <f>výdavky!E200</f>
        <v>2599</v>
      </c>
      <c r="I42" s="361">
        <f>výdavky!F200</f>
        <v>2964</v>
      </c>
      <c r="J42" s="227">
        <f>výdavky!G200</f>
        <v>3500</v>
      </c>
      <c r="K42" s="227">
        <f>výdavky!I200</f>
        <v>3500</v>
      </c>
      <c r="L42" s="361">
        <f>výdavky!J200</f>
        <v>3500</v>
      </c>
      <c r="M42" s="227">
        <f>výdavky!K200</f>
        <v>3500</v>
      </c>
      <c r="N42" s="227">
        <f>výdavky!L200</f>
        <v>3500</v>
      </c>
    </row>
    <row r="43" spans="1:14" x14ac:dyDescent="0.2">
      <c r="A43" s="183">
        <f t="shared" si="5"/>
        <v>37</v>
      </c>
      <c r="B43" s="216"/>
      <c r="C43" s="267" t="s">
        <v>207</v>
      </c>
      <c r="D43" s="261" t="s">
        <v>239</v>
      </c>
      <c r="E43" s="219" t="s">
        <v>268</v>
      </c>
      <c r="F43" s="262"/>
      <c r="G43" s="268"/>
      <c r="H43" s="694">
        <f>výdavky!E201</f>
        <v>6801</v>
      </c>
      <c r="I43" s="360">
        <f>výdavky!F201</f>
        <v>1935</v>
      </c>
      <c r="J43" s="222">
        <f>výdavky!G201</f>
        <v>960</v>
      </c>
      <c r="K43" s="222">
        <f>výdavky!I201</f>
        <v>960</v>
      </c>
      <c r="L43" s="360">
        <f>výdavky!J201</f>
        <v>960</v>
      </c>
      <c r="M43" s="222">
        <f>výdavky!K201</f>
        <v>960</v>
      </c>
      <c r="N43" s="222">
        <f>výdavky!L201</f>
        <v>960</v>
      </c>
    </row>
    <row r="44" spans="1:14" x14ac:dyDescent="0.2">
      <c r="A44" s="183">
        <f t="shared" si="5"/>
        <v>38</v>
      </c>
      <c r="B44" s="216"/>
      <c r="C44" s="267" t="s">
        <v>215</v>
      </c>
      <c r="D44" s="266" t="s">
        <v>267</v>
      </c>
      <c r="E44" s="228" t="s">
        <v>302</v>
      </c>
      <c r="F44" s="234"/>
      <c r="G44" s="235"/>
      <c r="H44" s="695">
        <f>výdavky!E202</f>
        <v>0</v>
      </c>
      <c r="I44" s="361">
        <f>výdavky!F202</f>
        <v>1582</v>
      </c>
      <c r="J44" s="227">
        <f>výdavky!G202</f>
        <v>0</v>
      </c>
      <c r="K44" s="227">
        <f>výdavky!I202</f>
        <v>0</v>
      </c>
      <c r="L44" s="361">
        <f>výdavky!J202</f>
        <v>0</v>
      </c>
      <c r="M44" s="227">
        <f>výdavky!K202</f>
        <v>0</v>
      </c>
      <c r="N44" s="227">
        <f>výdavky!L202</f>
        <v>0</v>
      </c>
    </row>
    <row r="45" spans="1:14" x14ac:dyDescent="0.2">
      <c r="A45" s="183">
        <v>39</v>
      </c>
      <c r="B45" s="216"/>
      <c r="C45" s="267" t="s">
        <v>215</v>
      </c>
      <c r="D45" s="266" t="s">
        <v>269</v>
      </c>
      <c r="E45" s="228" t="s">
        <v>303</v>
      </c>
      <c r="F45" s="234"/>
      <c r="G45" s="235"/>
      <c r="H45" s="695">
        <f>výdavky!E203</f>
        <v>0</v>
      </c>
      <c r="I45" s="361">
        <f>SUM(výdavky!F203)</f>
        <v>98</v>
      </c>
      <c r="J45" s="227">
        <f>výdavky!G203</f>
        <v>0</v>
      </c>
      <c r="K45" s="227">
        <f>výdavky!I203</f>
        <v>0</v>
      </c>
      <c r="L45" s="361">
        <f>výdavky!J203</f>
        <v>0</v>
      </c>
      <c r="M45" s="227">
        <f>výdavky!K203</f>
        <v>0</v>
      </c>
      <c r="N45" s="227">
        <f>výdavky!L203</f>
        <v>0</v>
      </c>
    </row>
    <row r="46" spans="1:14" x14ac:dyDescent="0.2">
      <c r="A46" s="183">
        <v>40</v>
      </c>
      <c r="B46" s="216"/>
      <c r="C46" s="217"/>
      <c r="D46" s="749" t="s">
        <v>184</v>
      </c>
      <c r="E46" s="753"/>
      <c r="F46" s="758"/>
      <c r="G46" s="759" t="e">
        <f t="shared" ref="G46:N46" si="7">G47</f>
        <v>#REF!</v>
      </c>
      <c r="H46" s="765">
        <f>H47</f>
        <v>0</v>
      </c>
      <c r="I46" s="761">
        <f t="shared" si="7"/>
        <v>0</v>
      </c>
      <c r="J46" s="760">
        <f>J47</f>
        <v>0</v>
      </c>
      <c r="K46" s="760">
        <f t="shared" si="7"/>
        <v>0</v>
      </c>
      <c r="L46" s="761">
        <f t="shared" si="7"/>
        <v>0</v>
      </c>
      <c r="M46" s="760">
        <f t="shared" si="7"/>
        <v>0</v>
      </c>
      <c r="N46" s="760">
        <f t="shared" si="7"/>
        <v>0</v>
      </c>
    </row>
    <row r="47" spans="1:14" x14ac:dyDescent="0.2">
      <c r="A47" s="183">
        <f>A46+1</f>
        <v>41</v>
      </c>
      <c r="B47" s="216"/>
      <c r="C47" s="287" t="s">
        <v>304</v>
      </c>
      <c r="D47" s="211" t="s">
        <v>300</v>
      </c>
      <c r="E47" s="212"/>
      <c r="F47" s="213"/>
      <c r="G47" s="246" t="e">
        <f>SUM(#REF!)</f>
        <v>#REF!</v>
      </c>
      <c r="H47" s="693">
        <f>H48</f>
        <v>0</v>
      </c>
      <c r="I47" s="392">
        <f>SUM(I48:I48)</f>
        <v>0</v>
      </c>
      <c r="J47" s="215">
        <f>J48</f>
        <v>0</v>
      </c>
      <c r="K47" s="215">
        <f>SUM(K48:K48)</f>
        <v>0</v>
      </c>
      <c r="L47" s="215">
        <f>SUM(L48:L48)</f>
        <v>0</v>
      </c>
      <c r="M47" s="215">
        <f>SUM(M48:M48)</f>
        <v>0</v>
      </c>
      <c r="N47" s="215">
        <f>SUM(N48:N48)</f>
        <v>0</v>
      </c>
    </row>
    <row r="48" spans="1:14" s="242" customFormat="1" x14ac:dyDescent="0.2">
      <c r="A48" s="296">
        <v>42</v>
      </c>
      <c r="B48" s="384"/>
      <c r="C48" s="385" t="s">
        <v>292</v>
      </c>
      <c r="D48" s="334" t="s">
        <v>271</v>
      </c>
      <c r="E48" s="386" t="s">
        <v>702</v>
      </c>
      <c r="F48" s="387"/>
      <c r="G48" s="388"/>
      <c r="H48" s="907">
        <v>0</v>
      </c>
      <c r="I48" s="389">
        <v>0</v>
      </c>
      <c r="J48" s="339">
        <f>výdavky!G685</f>
        <v>0</v>
      </c>
      <c r="K48" s="339">
        <v>0</v>
      </c>
      <c r="L48" s="389">
        <f>výdavky!J685</f>
        <v>0</v>
      </c>
      <c r="M48" s="339">
        <v>0</v>
      </c>
      <c r="N48" s="339">
        <v>0</v>
      </c>
    </row>
  </sheetData>
  <mergeCells count="3">
    <mergeCell ref="G3:N3"/>
    <mergeCell ref="D4:F6"/>
    <mergeCell ref="D25:E25"/>
  </mergeCells>
  <phoneticPr fontId="44" type="noConversion"/>
  <pageMargins left="0.25" right="0.25" top="0.75" bottom="0.75" header="0.3" footer="0.3"/>
  <pageSetup paperSize="9" scale="83" firstPageNumber="0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abSelected="1" zoomScaleNormal="100" workbookViewId="0">
      <selection activeCell="N28" sqref="N28"/>
    </sheetView>
  </sheetViews>
  <sheetFormatPr defaultRowHeight="12.75" x14ac:dyDescent="0.2"/>
  <cols>
    <col min="1" max="1" width="3.5703125" style="147" customWidth="1"/>
    <col min="2" max="2" width="4.140625" style="1" customWidth="1"/>
    <col min="3" max="3" width="7.5703125" customWidth="1"/>
    <col min="4" max="4" width="3.42578125" customWidth="1"/>
    <col min="5" max="5" width="31.42578125" customWidth="1"/>
    <col min="6" max="6" width="9.85546875" customWidth="1"/>
    <col min="7" max="7" width="0" hidden="1" customWidth="1"/>
    <col min="8" max="8" width="9.85546875" bestFit="1" customWidth="1"/>
    <col min="10" max="10" width="9.7109375" bestFit="1" customWidth="1"/>
    <col min="12" max="12" width="9.7109375" customWidth="1"/>
    <col min="13" max="14" width="8.42578125" customWidth="1"/>
  </cols>
  <sheetData>
    <row r="1" spans="1:14" ht="15.75" x14ac:dyDescent="0.25">
      <c r="B1" s="151" t="s">
        <v>305</v>
      </c>
      <c r="E1" s="151" t="s">
        <v>306</v>
      </c>
      <c r="F1" s="149"/>
      <c r="G1" s="304" t="e">
        <f>G2-G7</f>
        <v>#REF!</v>
      </c>
      <c r="H1" s="304"/>
      <c r="I1" s="304"/>
      <c r="J1" s="304"/>
      <c r="K1" s="304"/>
      <c r="L1" s="305">
        <f>L2-L7</f>
        <v>0</v>
      </c>
      <c r="M1" s="305">
        <f>M2-M7</f>
        <v>0</v>
      </c>
      <c r="N1" s="305">
        <f>N2-N7</f>
        <v>0</v>
      </c>
    </row>
    <row r="2" spans="1:14" ht="15.75" x14ac:dyDescent="0.25">
      <c r="B2" s="151"/>
      <c r="G2" s="306" t="e">
        <f>SUM(G8:G10)</f>
        <v>#REF!</v>
      </c>
      <c r="H2" s="306"/>
      <c r="I2" s="306"/>
      <c r="J2" s="306"/>
      <c r="K2" s="306"/>
      <c r="L2" s="159">
        <f>SUM(L8:L10)</f>
        <v>343427</v>
      </c>
      <c r="M2" s="159">
        <f>SUM(M8:M10)</f>
        <v>249790</v>
      </c>
      <c r="N2" s="159">
        <f>SUM(N8:N10)</f>
        <v>238790</v>
      </c>
    </row>
    <row r="3" spans="1:14" ht="15.75" x14ac:dyDescent="0.25">
      <c r="A3" s="160"/>
      <c r="B3" s="161"/>
      <c r="C3" s="162"/>
      <c r="D3" s="162"/>
      <c r="E3" s="163"/>
      <c r="F3" s="164"/>
      <c r="G3" s="3713" t="s">
        <v>169</v>
      </c>
      <c r="H3" s="3713"/>
      <c r="I3" s="3713"/>
      <c r="J3" s="3713"/>
      <c r="K3" s="3713"/>
      <c r="L3" s="3713"/>
      <c r="M3" s="3713"/>
      <c r="N3" s="3713"/>
    </row>
    <row r="4" spans="1:14" ht="11.25" customHeight="1" x14ac:dyDescent="0.2">
      <c r="A4" s="165"/>
      <c r="B4" s="166" t="s">
        <v>170</v>
      </c>
      <c r="C4" s="167" t="s">
        <v>171</v>
      </c>
      <c r="D4" s="3716" t="s">
        <v>172</v>
      </c>
      <c r="E4" s="3716"/>
      <c r="F4" s="3716"/>
      <c r="G4" s="168"/>
      <c r="H4" s="890">
        <v>2019</v>
      </c>
      <c r="I4" s="169">
        <v>2020</v>
      </c>
      <c r="J4" s="169" t="s">
        <v>995</v>
      </c>
      <c r="K4" s="169" t="s">
        <v>992</v>
      </c>
      <c r="L4" s="169">
        <v>2022</v>
      </c>
      <c r="M4" s="169">
        <v>2023</v>
      </c>
      <c r="N4" s="169">
        <v>2024</v>
      </c>
    </row>
    <row r="5" spans="1:14" ht="15" customHeight="1" x14ac:dyDescent="0.2">
      <c r="A5" s="165"/>
      <c r="B5" s="166" t="s">
        <v>173</v>
      </c>
      <c r="C5" s="167" t="s">
        <v>174</v>
      </c>
      <c r="D5" s="3716"/>
      <c r="E5" s="3716"/>
      <c r="F5" s="3716"/>
      <c r="G5" s="170" t="s">
        <v>175</v>
      </c>
      <c r="H5" s="307" t="s">
        <v>176</v>
      </c>
      <c r="I5" s="171" t="s">
        <v>177</v>
      </c>
      <c r="J5" s="171" t="s">
        <v>176</v>
      </c>
      <c r="K5" s="171" t="s">
        <v>177</v>
      </c>
      <c r="L5" s="171" t="s">
        <v>176</v>
      </c>
      <c r="M5" s="171" t="s">
        <v>177</v>
      </c>
      <c r="N5" s="171" t="s">
        <v>177</v>
      </c>
    </row>
    <row r="6" spans="1:14" ht="13.5" thickBot="1" x14ac:dyDescent="0.25">
      <c r="A6" s="165"/>
      <c r="B6" s="309" t="s">
        <v>178</v>
      </c>
      <c r="C6" s="310" t="s">
        <v>179</v>
      </c>
      <c r="D6" s="3716"/>
      <c r="E6" s="3716"/>
      <c r="F6" s="3716"/>
      <c r="G6" s="311">
        <v>1</v>
      </c>
      <c r="H6" s="173">
        <v>-3</v>
      </c>
      <c r="I6" s="312">
        <v>-2</v>
      </c>
      <c r="J6" s="312">
        <v>-1</v>
      </c>
      <c r="K6" s="312">
        <v>-1</v>
      </c>
      <c r="L6" s="312">
        <v>0</v>
      </c>
      <c r="M6" s="312">
        <v>1</v>
      </c>
      <c r="N6" s="312">
        <v>2</v>
      </c>
    </row>
    <row r="7" spans="1:14" ht="15" x14ac:dyDescent="0.25">
      <c r="A7" s="176">
        <v>1</v>
      </c>
      <c r="B7" s="390" t="s">
        <v>305</v>
      </c>
      <c r="C7" s="314"/>
      <c r="D7" s="315"/>
      <c r="E7" s="316" t="s">
        <v>306</v>
      </c>
      <c r="F7" s="317"/>
      <c r="G7" s="318" t="e">
        <f>G11+G27</f>
        <v>#REF!</v>
      </c>
      <c r="H7" s="3439">
        <f>H8+H9+H10</f>
        <v>12039537</v>
      </c>
      <c r="I7" s="1824">
        <f>SUM(I8,I9,I10)</f>
        <v>5633646</v>
      </c>
      <c r="J7" s="1826">
        <f>J8+J9+J10</f>
        <v>1306485</v>
      </c>
      <c r="K7" s="1826">
        <f>SUM(K8,K9,K10)</f>
        <v>1307430</v>
      </c>
      <c r="L7" s="1773">
        <f>SUM(L8,L9,L10)</f>
        <v>343427</v>
      </c>
      <c r="M7" s="1496">
        <f>SUM(M8,M9,M10)</f>
        <v>249790</v>
      </c>
      <c r="N7" s="182">
        <f>SUM(N8,N9,N10)</f>
        <v>238790</v>
      </c>
    </row>
    <row r="8" spans="1:14" x14ac:dyDescent="0.2">
      <c r="A8" s="183">
        <f t="shared" ref="A8:A21" si="0">A7+1</f>
        <v>2</v>
      </c>
      <c r="B8" s="184" t="s">
        <v>181</v>
      </c>
      <c r="C8" s="827" t="s">
        <v>182</v>
      </c>
      <c r="D8" s="828"/>
      <c r="E8" s="829"/>
      <c r="F8" s="830"/>
      <c r="G8" s="831" t="e">
        <f>G12+G28</f>
        <v>#REF!</v>
      </c>
      <c r="H8" s="946">
        <f>H12+H28+H48</f>
        <v>207745</v>
      </c>
      <c r="I8" s="913">
        <f>SUM(I12+I28+I48)</f>
        <v>200512</v>
      </c>
      <c r="J8" s="832">
        <f>J13+J29+J49</f>
        <v>179755</v>
      </c>
      <c r="K8" s="832">
        <f>SUM(K12+K28+K48)</f>
        <v>154234</v>
      </c>
      <c r="L8" s="944">
        <f>SUM(L12+L28)</f>
        <v>134255</v>
      </c>
      <c r="M8" s="832">
        <f>SUM(M12+M28)</f>
        <v>124790</v>
      </c>
      <c r="N8" s="832">
        <f>SUM(N12+N28)</f>
        <v>123790</v>
      </c>
    </row>
    <row r="9" spans="1:14" x14ac:dyDescent="0.2">
      <c r="A9" s="183">
        <f t="shared" si="0"/>
        <v>3</v>
      </c>
      <c r="B9" s="184" t="s">
        <v>183</v>
      </c>
      <c r="C9" s="936" t="s">
        <v>184</v>
      </c>
      <c r="D9" s="937"/>
      <c r="E9" s="938"/>
      <c r="F9" s="939"/>
      <c r="G9" s="940" t="e">
        <f>#REF!</f>
        <v>#REF!</v>
      </c>
      <c r="H9" s="953">
        <f t="shared" ref="H9:M9" si="1">H23+H37</f>
        <v>6216370</v>
      </c>
      <c r="I9" s="941">
        <f t="shared" si="1"/>
        <v>2755994</v>
      </c>
      <c r="J9" s="1495">
        <f t="shared" si="1"/>
        <v>0</v>
      </c>
      <c r="K9" s="942">
        <f>K23+K37</f>
        <v>3242</v>
      </c>
      <c r="L9" s="942">
        <f t="shared" si="1"/>
        <v>83880</v>
      </c>
      <c r="M9" s="1495">
        <f t="shared" si="1"/>
        <v>0</v>
      </c>
      <c r="N9" s="942">
        <f>N23</f>
        <v>0</v>
      </c>
    </row>
    <row r="10" spans="1:14" ht="13.5" thickBot="1" x14ac:dyDescent="0.25">
      <c r="A10" s="183">
        <f t="shared" si="0"/>
        <v>4</v>
      </c>
      <c r="B10" s="187"/>
      <c r="C10" s="855" t="s">
        <v>185</v>
      </c>
      <c r="D10" s="856"/>
      <c r="E10" s="857"/>
      <c r="F10" s="858"/>
      <c r="G10" s="964">
        <v>0</v>
      </c>
      <c r="H10" s="1016">
        <f>H42</f>
        <v>5615422</v>
      </c>
      <c r="I10" s="980">
        <f>I42</f>
        <v>2677140</v>
      </c>
      <c r="J10" s="981">
        <f>J42</f>
        <v>1126730</v>
      </c>
      <c r="K10" s="981">
        <f>K42</f>
        <v>1149954</v>
      </c>
      <c r="L10" s="982">
        <f>L42</f>
        <v>125292</v>
      </c>
      <c r="M10" s="981">
        <f>M42</f>
        <v>125000</v>
      </c>
      <c r="N10" s="981">
        <f>N42</f>
        <v>115000</v>
      </c>
    </row>
    <row r="11" spans="1:14" ht="13.5" thickTop="1" x14ac:dyDescent="0.2">
      <c r="A11" s="183">
        <f t="shared" si="0"/>
        <v>5</v>
      </c>
      <c r="B11" s="188">
        <v>1</v>
      </c>
      <c r="C11" s="289" t="s">
        <v>307</v>
      </c>
      <c r="D11" s="190"/>
      <c r="E11" s="190"/>
      <c r="F11" s="191"/>
      <c r="G11" s="192" t="e">
        <f>SUM(G13)+#REF!</f>
        <v>#REF!</v>
      </c>
      <c r="H11" s="762">
        <f>H12+H23</f>
        <v>145813</v>
      </c>
      <c r="I11" s="3385">
        <f t="shared" ref="I11:N12" si="2">I12</f>
        <v>112853</v>
      </c>
      <c r="J11" s="762">
        <f>J12+J23</f>
        <v>118750</v>
      </c>
      <c r="K11" s="3385">
        <f t="shared" si="2"/>
        <v>124950</v>
      </c>
      <c r="L11" s="762">
        <f>L12+L23</f>
        <v>213830</v>
      </c>
      <c r="M11" s="3385">
        <f t="shared" si="2"/>
        <v>121485</v>
      </c>
      <c r="N11" s="762">
        <f t="shared" si="2"/>
        <v>121485</v>
      </c>
    </row>
    <row r="12" spans="1:14" s="242" customFormat="1" x14ac:dyDescent="0.2">
      <c r="A12" s="183">
        <f t="shared" si="0"/>
        <v>6</v>
      </c>
      <c r="B12" s="203"/>
      <c r="C12" s="204"/>
      <c r="D12" s="186" t="s">
        <v>182</v>
      </c>
      <c r="E12" s="205"/>
      <c r="F12" s="206"/>
      <c r="G12" s="207" t="e">
        <f>G13</f>
        <v>#REF!</v>
      </c>
      <c r="H12" s="692">
        <f>H13</f>
        <v>145813</v>
      </c>
      <c r="I12" s="325">
        <f t="shared" si="2"/>
        <v>112853</v>
      </c>
      <c r="J12" s="692">
        <f>J13</f>
        <v>118750</v>
      </c>
      <c r="K12" s="325">
        <f t="shared" si="2"/>
        <v>124950</v>
      </c>
      <c r="L12" s="692">
        <f t="shared" si="2"/>
        <v>129950</v>
      </c>
      <c r="M12" s="325">
        <f t="shared" si="2"/>
        <v>121485</v>
      </c>
      <c r="N12" s="692">
        <f t="shared" si="2"/>
        <v>121485</v>
      </c>
    </row>
    <row r="13" spans="1:14" x14ac:dyDescent="0.2">
      <c r="A13" s="183">
        <f t="shared" si="0"/>
        <v>7</v>
      </c>
      <c r="B13" s="236"/>
      <c r="C13" s="327" t="s">
        <v>308</v>
      </c>
      <c r="D13" s="244" t="s">
        <v>309</v>
      </c>
      <c r="E13" s="328"/>
      <c r="F13" s="329"/>
      <c r="G13" s="246" t="e">
        <f>SUM(#REF!)</f>
        <v>#REF!</v>
      </c>
      <c r="H13" s="693">
        <f>SUM(H14:H22)</f>
        <v>145813</v>
      </c>
      <c r="I13" s="439">
        <f>SUM(I17,I18,I20,I21,I22)+I14+I15+I16+I19</f>
        <v>112853</v>
      </c>
      <c r="J13" s="693">
        <f>SUM(J14:J22)</f>
        <v>118750</v>
      </c>
      <c r="K13" s="439">
        <f>SUM(K14:K22)</f>
        <v>124950</v>
      </c>
      <c r="L13" s="693">
        <f>SUM(L17,L18,L20,L21,L22)+L14+L15+L16+L19</f>
        <v>129950</v>
      </c>
      <c r="M13" s="439">
        <f>SUM(M14:M22)</f>
        <v>121485</v>
      </c>
      <c r="N13" s="693">
        <f>SUM(N14:N22)</f>
        <v>121485</v>
      </c>
    </row>
    <row r="14" spans="1:14" x14ac:dyDescent="0.2">
      <c r="A14" s="183">
        <v>8</v>
      </c>
      <c r="B14" s="236"/>
      <c r="C14" s="842"/>
      <c r="D14" s="843">
        <v>1</v>
      </c>
      <c r="E14" s="253" t="s">
        <v>192</v>
      </c>
      <c r="F14" s="254"/>
      <c r="G14" s="235"/>
      <c r="H14" s="695">
        <f>výdavky!E235</f>
        <v>26591</v>
      </c>
      <c r="I14" s="331">
        <f>výdavky!F235</f>
        <v>29040</v>
      </c>
      <c r="J14" s="695">
        <f>výdavky!G235</f>
        <v>35000</v>
      </c>
      <c r="K14" s="331">
        <f>výdavky!I235</f>
        <v>35000</v>
      </c>
      <c r="L14" s="695">
        <f>výdavky!J235</f>
        <v>35000</v>
      </c>
      <c r="M14" s="331">
        <f>výdavky!K235</f>
        <v>31500</v>
      </c>
      <c r="N14" s="695">
        <f>výdavky!L235</f>
        <v>31500</v>
      </c>
    </row>
    <row r="15" spans="1:14" x14ac:dyDescent="0.2">
      <c r="A15" s="183">
        <v>9</v>
      </c>
      <c r="B15" s="236"/>
      <c r="C15" s="842"/>
      <c r="D15" s="843">
        <v>2</v>
      </c>
      <c r="E15" s="253" t="s">
        <v>660</v>
      </c>
      <c r="F15" s="254"/>
      <c r="G15" s="235"/>
      <c r="H15" s="695">
        <f>výdavky!E237</f>
        <v>9368</v>
      </c>
      <c r="I15" s="331">
        <f>výdavky!F237+výdavky!F250</f>
        <v>10617</v>
      </c>
      <c r="J15" s="695">
        <f>výdavky!G237</f>
        <v>12200</v>
      </c>
      <c r="K15" s="331">
        <f>výdavky!I237</f>
        <v>12300</v>
      </c>
      <c r="L15" s="695">
        <f>výdavky!J237</f>
        <v>12300</v>
      </c>
      <c r="M15" s="331">
        <f>výdavky!K237</f>
        <v>11435</v>
      </c>
      <c r="N15" s="695">
        <f>výdavky!L237</f>
        <v>11435</v>
      </c>
    </row>
    <row r="16" spans="1:14" x14ac:dyDescent="0.2">
      <c r="A16" s="183">
        <v>10</v>
      </c>
      <c r="B16" s="236"/>
      <c r="C16" s="842"/>
      <c r="D16" s="843">
        <v>3</v>
      </c>
      <c r="E16" s="253" t="s">
        <v>198</v>
      </c>
      <c r="F16" s="254"/>
      <c r="G16" s="235"/>
      <c r="H16" s="695">
        <f>výdavky!E239</f>
        <v>507</v>
      </c>
      <c r="I16" s="331">
        <f>výdavky!F239</f>
        <v>640</v>
      </c>
      <c r="J16" s="695">
        <f>výdavky!G239</f>
        <v>550</v>
      </c>
      <c r="K16" s="331">
        <f>výdavky!I239</f>
        <v>550</v>
      </c>
      <c r="L16" s="695">
        <f>výdavky!J239</f>
        <v>550</v>
      </c>
      <c r="M16" s="331">
        <f>výdavky!K239</f>
        <v>550</v>
      </c>
      <c r="N16" s="695">
        <f>výdavky!L239</f>
        <v>550</v>
      </c>
    </row>
    <row r="17" spans="1:14" x14ac:dyDescent="0.2">
      <c r="A17" s="183">
        <v>11</v>
      </c>
      <c r="B17" s="236"/>
      <c r="C17" s="265" t="s">
        <v>199</v>
      </c>
      <c r="D17" s="266" t="s">
        <v>231</v>
      </c>
      <c r="E17" s="224" t="s">
        <v>200</v>
      </c>
      <c r="F17" s="254"/>
      <c r="G17" s="255"/>
      <c r="H17" s="695">
        <f>výdavky!E240</f>
        <v>5814</v>
      </c>
      <c r="I17" s="331">
        <f>výdavky!F240</f>
        <v>5346</v>
      </c>
      <c r="J17" s="695">
        <f>výdavky!G240</f>
        <v>5500</v>
      </c>
      <c r="K17" s="331">
        <f>výdavky!I240</f>
        <v>5500</v>
      </c>
      <c r="L17" s="695">
        <f>výdavky!J240</f>
        <v>5500</v>
      </c>
      <c r="M17" s="331">
        <f>výdavky!K240</f>
        <v>2500</v>
      </c>
      <c r="N17" s="695">
        <f>výdavky!L240</f>
        <v>2500</v>
      </c>
    </row>
    <row r="18" spans="1:14" x14ac:dyDescent="0.2">
      <c r="A18" s="183">
        <f t="shared" si="0"/>
        <v>12</v>
      </c>
      <c r="B18" s="236"/>
      <c r="C18" s="265" t="s">
        <v>201</v>
      </c>
      <c r="D18" s="266" t="s">
        <v>233</v>
      </c>
      <c r="E18" s="224" t="s">
        <v>202</v>
      </c>
      <c r="F18" s="254"/>
      <c r="G18" s="255"/>
      <c r="H18" s="695">
        <f>výdavky!E241</f>
        <v>12934</v>
      </c>
      <c r="I18" s="331">
        <f>výdavky!F241</f>
        <v>8852</v>
      </c>
      <c r="J18" s="695">
        <f>výdavky!G241</f>
        <v>8000</v>
      </c>
      <c r="K18" s="331">
        <f>výdavky!I241</f>
        <v>10000</v>
      </c>
      <c r="L18" s="695">
        <f>výdavky!J241</f>
        <v>10000</v>
      </c>
      <c r="M18" s="331">
        <f>výdavky!K241</f>
        <v>8000</v>
      </c>
      <c r="N18" s="695">
        <f>výdavky!L241</f>
        <v>8000</v>
      </c>
    </row>
    <row r="19" spans="1:14" x14ac:dyDescent="0.2">
      <c r="A19" s="183">
        <v>13</v>
      </c>
      <c r="B19" s="236"/>
      <c r="C19" s="265" t="s">
        <v>201</v>
      </c>
      <c r="D19" s="266" t="s">
        <v>237</v>
      </c>
      <c r="E19" s="224" t="s">
        <v>474</v>
      </c>
      <c r="F19" s="254"/>
      <c r="G19" s="255"/>
      <c r="H19" s="695">
        <f>výdavky!E244</f>
        <v>1360</v>
      </c>
      <c r="I19" s="331">
        <f>výdavky!F244</f>
        <v>1168</v>
      </c>
      <c r="J19" s="695">
        <f>výdavky!G244</f>
        <v>1500</v>
      </c>
      <c r="K19" s="331">
        <f>výdavky!I244</f>
        <v>1500</v>
      </c>
      <c r="L19" s="695">
        <f>výdavky!J244</f>
        <v>1500</v>
      </c>
      <c r="M19" s="331">
        <f>výdavky!K244</f>
        <v>1500</v>
      </c>
      <c r="N19" s="695">
        <f>výdavky!L244</f>
        <v>1500</v>
      </c>
    </row>
    <row r="20" spans="1:14" x14ac:dyDescent="0.2">
      <c r="A20" s="183">
        <v>14</v>
      </c>
      <c r="B20" s="236"/>
      <c r="C20" s="265" t="s">
        <v>203</v>
      </c>
      <c r="D20" s="266" t="s">
        <v>239</v>
      </c>
      <c r="E20" s="224" t="s">
        <v>279</v>
      </c>
      <c r="F20" s="254"/>
      <c r="G20" s="255"/>
      <c r="H20" s="695">
        <f>výdavky!E245</f>
        <v>0</v>
      </c>
      <c r="I20" s="331">
        <f>výdavky!F245</f>
        <v>0</v>
      </c>
      <c r="J20" s="695">
        <f>výdavky!G245</f>
        <v>1000</v>
      </c>
      <c r="K20" s="331">
        <f>výdavky!I245</f>
        <v>100</v>
      </c>
      <c r="L20" s="695">
        <f>výdavky!J245</f>
        <v>100</v>
      </c>
      <c r="M20" s="331">
        <f>výdavky!K245</f>
        <v>1000</v>
      </c>
      <c r="N20" s="695">
        <f>výdavky!L245</f>
        <v>1000</v>
      </c>
    </row>
    <row r="21" spans="1:14" x14ac:dyDescent="0.2">
      <c r="A21" s="183">
        <f t="shared" si="0"/>
        <v>15</v>
      </c>
      <c r="B21" s="236"/>
      <c r="C21" s="265" t="s">
        <v>207</v>
      </c>
      <c r="D21" s="266" t="s">
        <v>267</v>
      </c>
      <c r="E21" s="224" t="s">
        <v>310</v>
      </c>
      <c r="F21" s="254"/>
      <c r="G21" s="255"/>
      <c r="H21" s="695">
        <f>výdavky!E247</f>
        <v>73437</v>
      </c>
      <c r="I21" s="331">
        <f>výdavky!F247</f>
        <v>43191</v>
      </c>
      <c r="J21" s="695">
        <f>výdavky!G247</f>
        <v>50000</v>
      </c>
      <c r="K21" s="331">
        <f>výdavky!I247</f>
        <v>50000</v>
      </c>
      <c r="L21" s="695">
        <f>výdavky!J247</f>
        <v>50000</v>
      </c>
      <c r="M21" s="331">
        <f>výdavky!K247</f>
        <v>50000</v>
      </c>
      <c r="N21" s="695">
        <f>výdavky!L247</f>
        <v>50000</v>
      </c>
    </row>
    <row r="22" spans="1:14" x14ac:dyDescent="0.2">
      <c r="A22" s="183">
        <v>16</v>
      </c>
      <c r="B22" s="236"/>
      <c r="C22" s="265" t="s">
        <v>207</v>
      </c>
      <c r="D22" s="266" t="s">
        <v>269</v>
      </c>
      <c r="E22" s="224" t="s">
        <v>311</v>
      </c>
      <c r="F22" s="254"/>
      <c r="G22" s="255"/>
      <c r="H22" s="695">
        <f>výdavky!E248+výdavky!E250</f>
        <v>15802</v>
      </c>
      <c r="I22" s="331">
        <f>SUM(výdavky!F248)</f>
        <v>13999</v>
      </c>
      <c r="J22" s="695">
        <f>výdavky!G248+výdavky!G250</f>
        <v>5000</v>
      </c>
      <c r="K22" s="331">
        <f>výdavky!I248+výdavky!I250</f>
        <v>10000</v>
      </c>
      <c r="L22" s="695">
        <f>výdavky!J248+výdavky!J250</f>
        <v>15000</v>
      </c>
      <c r="M22" s="331">
        <f>výdavky!K248</f>
        <v>15000</v>
      </c>
      <c r="N22" s="695">
        <f>výdavky!L248</f>
        <v>15000</v>
      </c>
    </row>
    <row r="23" spans="1:14" x14ac:dyDescent="0.2">
      <c r="A23" s="183">
        <v>17</v>
      </c>
      <c r="B23" s="209"/>
      <c r="C23" s="217"/>
      <c r="D23" s="749" t="s">
        <v>184</v>
      </c>
      <c r="E23" s="753"/>
      <c r="F23" s="758"/>
      <c r="G23" s="759">
        <f>G25</f>
        <v>0</v>
      </c>
      <c r="H23" s="765">
        <f t="shared" ref="H23:N23" si="3">H24</f>
        <v>0</v>
      </c>
      <c r="I23" s="771">
        <f t="shared" si="3"/>
        <v>0</v>
      </c>
      <c r="J23" s="765">
        <f t="shared" si="3"/>
        <v>0</v>
      </c>
      <c r="K23" s="771">
        <f t="shared" si="3"/>
        <v>0</v>
      </c>
      <c r="L23" s="765">
        <f t="shared" si="3"/>
        <v>83880</v>
      </c>
      <c r="M23" s="771">
        <f t="shared" si="3"/>
        <v>0</v>
      </c>
      <c r="N23" s="765">
        <f t="shared" si="3"/>
        <v>0</v>
      </c>
    </row>
    <row r="24" spans="1:14" x14ac:dyDescent="0.2">
      <c r="A24" s="183">
        <f t="shared" ref="A24:A29" si="4">A23+1</f>
        <v>18</v>
      </c>
      <c r="B24" s="209"/>
      <c r="C24" s="210" t="s">
        <v>312</v>
      </c>
      <c r="D24" s="211" t="s">
        <v>309</v>
      </c>
      <c r="E24" s="212"/>
      <c r="F24" s="213"/>
      <c r="G24" s="214">
        <f>SUM(G25:G29)</f>
        <v>234.29999999999998</v>
      </c>
      <c r="H24" s="693">
        <f>H25+H26</f>
        <v>0</v>
      </c>
      <c r="I24" s="439">
        <f>SUM(I25,I26)</f>
        <v>0</v>
      </c>
      <c r="J24" s="693">
        <f>J25+J26</f>
        <v>0</v>
      </c>
      <c r="K24" s="439">
        <f>SUM(K25,K26)</f>
        <v>0</v>
      </c>
      <c r="L24" s="693">
        <f>SUM(L25,L26)</f>
        <v>83880</v>
      </c>
      <c r="M24" s="439">
        <f>M25+SUM(M25,M26)</f>
        <v>0</v>
      </c>
      <c r="N24" s="693">
        <f>N25+SUM(N25,N26)</f>
        <v>0</v>
      </c>
    </row>
    <row r="25" spans="1:14" x14ac:dyDescent="0.2">
      <c r="A25" s="183">
        <f t="shared" si="4"/>
        <v>19</v>
      </c>
      <c r="B25" s="236"/>
      <c r="C25" s="265" t="s">
        <v>274</v>
      </c>
      <c r="D25" s="266" t="s">
        <v>271</v>
      </c>
      <c r="E25" s="351" t="s">
        <v>458</v>
      </c>
      <c r="F25" s="234"/>
      <c r="G25" s="235"/>
      <c r="H25" s="695">
        <f>výdavky!E694+výdavky!E696+výdavky!E698+výdavky!E699</f>
        <v>0</v>
      </c>
      <c r="I25" s="331">
        <f>výdavky!F696+výdavky!F698+výdavky!F699</f>
        <v>0</v>
      </c>
      <c r="J25" s="695">
        <f>výdavky!G696</f>
        <v>0</v>
      </c>
      <c r="K25" s="331">
        <f>výdavky!I696+výdavky!I698+výdavky!I699</f>
        <v>0</v>
      </c>
      <c r="L25" s="695">
        <f>SUM(výdavky!J696+výdavky!J698+výdavky!J699)</f>
        <v>83880</v>
      </c>
      <c r="M25" s="331">
        <f>výdavky!K696</f>
        <v>0</v>
      </c>
      <c r="N25" s="695">
        <f>výdavky!L696</f>
        <v>0</v>
      </c>
    </row>
    <row r="26" spans="1:14" x14ac:dyDescent="0.2">
      <c r="A26" s="183">
        <f t="shared" si="4"/>
        <v>20</v>
      </c>
      <c r="B26" s="236"/>
      <c r="C26" s="265" t="s">
        <v>330</v>
      </c>
      <c r="D26" s="266" t="s">
        <v>362</v>
      </c>
      <c r="E26" s="351" t="s">
        <v>547</v>
      </c>
      <c r="F26" s="234"/>
      <c r="G26" s="235"/>
      <c r="H26" s="695">
        <f>výdavky!E695</f>
        <v>0</v>
      </c>
      <c r="I26" s="331">
        <f>výdavky!F694+výdavky!F695</f>
        <v>0</v>
      </c>
      <c r="J26" s="695">
        <f>výdavky!G695</f>
        <v>0</v>
      </c>
      <c r="K26" s="331">
        <f>výdavky!I694+výdavky!I695</f>
        <v>0</v>
      </c>
      <c r="L26" s="695">
        <f>SUM(výdavky!J694+výdavky!J695)</f>
        <v>0</v>
      </c>
      <c r="M26" s="331">
        <f>výdavky!K695</f>
        <v>0</v>
      </c>
      <c r="N26" s="695">
        <f>výdavky!L695</f>
        <v>0</v>
      </c>
    </row>
    <row r="27" spans="1:14" x14ac:dyDescent="0.2">
      <c r="A27" s="183">
        <f t="shared" si="4"/>
        <v>21</v>
      </c>
      <c r="B27" s="188">
        <v>2</v>
      </c>
      <c r="C27" s="393" t="s">
        <v>313</v>
      </c>
      <c r="D27" s="190"/>
      <c r="E27" s="190"/>
      <c r="F27" s="191"/>
      <c r="G27" s="192">
        <f>SUM(G29)</f>
        <v>78.099999999999994</v>
      </c>
      <c r="H27" s="691">
        <f>H28+H37+H42</f>
        <v>11893724</v>
      </c>
      <c r="I27" s="323">
        <f>I28+I37+I42</f>
        <v>5520793</v>
      </c>
      <c r="J27" s="1510">
        <f>J28+J37+J42</f>
        <v>1187735</v>
      </c>
      <c r="K27" s="323">
        <f>K28+K37+K42</f>
        <v>1182480</v>
      </c>
      <c r="L27" s="691">
        <f>L28+L37+L42</f>
        <v>129597</v>
      </c>
      <c r="M27" s="3406">
        <f>M28+M37+M42</f>
        <v>128305</v>
      </c>
      <c r="N27" s="691">
        <f>N28+N37+N42</f>
        <v>117305</v>
      </c>
    </row>
    <row r="28" spans="1:14" s="242" customFormat="1" x14ac:dyDescent="0.2">
      <c r="A28" s="183">
        <f t="shared" si="4"/>
        <v>22</v>
      </c>
      <c r="B28" s="203"/>
      <c r="C28" s="394"/>
      <c r="D28" s="186" t="s">
        <v>182</v>
      </c>
      <c r="E28" s="205"/>
      <c r="F28" s="206"/>
      <c r="G28" s="207">
        <f>G29</f>
        <v>78.099999999999994</v>
      </c>
      <c r="H28" s="692">
        <f>H29</f>
        <v>61932</v>
      </c>
      <c r="I28" s="325">
        <f t="shared" ref="I27:N28" si="5">I29</f>
        <v>87659</v>
      </c>
      <c r="J28" s="692">
        <f>J29</f>
        <v>61005</v>
      </c>
      <c r="K28" s="325">
        <f t="shared" si="5"/>
        <v>29284</v>
      </c>
      <c r="L28" s="692">
        <f t="shared" si="5"/>
        <v>4305</v>
      </c>
      <c r="M28" s="325">
        <f t="shared" si="5"/>
        <v>3305</v>
      </c>
      <c r="N28" s="692">
        <f t="shared" si="5"/>
        <v>2305</v>
      </c>
    </row>
    <row r="29" spans="1:14" x14ac:dyDescent="0.2">
      <c r="A29" s="183">
        <f t="shared" si="4"/>
        <v>23</v>
      </c>
      <c r="B29" s="236"/>
      <c r="C29" s="395" t="s">
        <v>314</v>
      </c>
      <c r="D29" s="244" t="s">
        <v>313</v>
      </c>
      <c r="E29" s="328"/>
      <c r="F29" s="329"/>
      <c r="G29" s="246">
        <f>G41</f>
        <v>78.099999999999994</v>
      </c>
      <c r="H29" s="693">
        <f>SUM(H30:H36)</f>
        <v>61932</v>
      </c>
      <c r="I29" s="439">
        <f>SUM(I30,I31,I32,I33,I34,I35)+I36</f>
        <v>87659</v>
      </c>
      <c r="J29" s="693">
        <f>SUM(J30:J36)</f>
        <v>61005</v>
      </c>
      <c r="K29" s="439">
        <f>SUM(K30,K31,K32,K33,K34,K35,K36)</f>
        <v>29284</v>
      </c>
      <c r="L29" s="693">
        <f>L41+SUM(L30,L31,L32,L33,L34,L35)+L36</f>
        <v>4305</v>
      </c>
      <c r="M29" s="439">
        <f>M41+SUM(M30,M31,M32,M33,M34,M35)+M36</f>
        <v>3305</v>
      </c>
      <c r="N29" s="693">
        <f>N41+SUM(N30,N31,N32,N33,N34,N35)+N36</f>
        <v>2305</v>
      </c>
    </row>
    <row r="30" spans="1:14" x14ac:dyDescent="0.2">
      <c r="A30" s="183">
        <v>24</v>
      </c>
      <c r="B30" s="236"/>
      <c r="C30" s="265" t="s">
        <v>191</v>
      </c>
      <c r="D30" s="252">
        <v>1</v>
      </c>
      <c r="E30" s="253" t="s">
        <v>192</v>
      </c>
      <c r="F30" s="254"/>
      <c r="G30" s="255"/>
      <c r="H30" s="695">
        <f>výdavky!E253</f>
        <v>10524</v>
      </c>
      <c r="I30" s="331">
        <f>výdavky!F253</f>
        <v>11526</v>
      </c>
      <c r="J30" s="695">
        <f>výdavky!G253</f>
        <v>0</v>
      </c>
      <c r="K30" s="331">
        <f>výdavky!I253</f>
        <v>4755</v>
      </c>
      <c r="L30" s="695">
        <f>výdavky!J253</f>
        <v>0</v>
      </c>
      <c r="M30" s="331">
        <f>výdavky!K253</f>
        <v>0</v>
      </c>
      <c r="N30" s="695">
        <f>výdavky!L253</f>
        <v>0</v>
      </c>
    </row>
    <row r="31" spans="1:14" x14ac:dyDescent="0.2">
      <c r="A31" s="183">
        <v>25</v>
      </c>
      <c r="B31" s="236"/>
      <c r="C31" s="265" t="s">
        <v>193</v>
      </c>
      <c r="D31" s="252">
        <v>2</v>
      </c>
      <c r="E31" s="253" t="s">
        <v>194</v>
      </c>
      <c r="F31" s="254"/>
      <c r="G31" s="255"/>
      <c r="H31" s="695">
        <f>výdavky!E254</f>
        <v>3677</v>
      </c>
      <c r="I31" s="331">
        <f>výdavky!F254</f>
        <v>3639</v>
      </c>
      <c r="J31" s="695">
        <f>výdavky!G254</f>
        <v>0</v>
      </c>
      <c r="K31" s="331">
        <f>výdavky!I254</f>
        <v>2666</v>
      </c>
      <c r="L31" s="695">
        <f>výdavky!J254</f>
        <v>0</v>
      </c>
      <c r="M31" s="331">
        <f>výdavky!K254</f>
        <v>0</v>
      </c>
      <c r="N31" s="695">
        <f>výdavky!L254</f>
        <v>0</v>
      </c>
    </row>
    <row r="32" spans="1:14" x14ac:dyDescent="0.2">
      <c r="A32" s="183">
        <v>26</v>
      </c>
      <c r="B32" s="236"/>
      <c r="C32" s="265" t="s">
        <v>197</v>
      </c>
      <c r="D32" s="252">
        <v>3</v>
      </c>
      <c r="E32" s="253" t="s">
        <v>198</v>
      </c>
      <c r="F32" s="254"/>
      <c r="G32" s="255"/>
      <c r="H32" s="695">
        <f>výdavky!E255</f>
        <v>10309</v>
      </c>
      <c r="I32" s="331">
        <f>výdavky!F255</f>
        <v>23114</v>
      </c>
      <c r="J32" s="695">
        <f>výdavky!G255</f>
        <v>25000</v>
      </c>
      <c r="K32" s="331">
        <f>výdavky!I255</f>
        <v>8530</v>
      </c>
      <c r="L32" s="695">
        <f>výdavky!J255</f>
        <v>0</v>
      </c>
      <c r="M32" s="331">
        <f>výdavky!K255</f>
        <v>0</v>
      </c>
      <c r="N32" s="695">
        <f>výdavky!L255</f>
        <v>0</v>
      </c>
    </row>
    <row r="33" spans="1:14" x14ac:dyDescent="0.2">
      <c r="A33" s="183">
        <v>27</v>
      </c>
      <c r="B33" s="236"/>
      <c r="C33" s="265" t="s">
        <v>199</v>
      </c>
      <c r="D33" s="252">
        <v>4</v>
      </c>
      <c r="E33" s="253" t="s">
        <v>200</v>
      </c>
      <c r="F33" s="254"/>
      <c r="G33" s="255"/>
      <c r="H33" s="695">
        <f>výdavky!E257</f>
        <v>3608</v>
      </c>
      <c r="I33" s="331">
        <f>výdavky!F257</f>
        <v>1247</v>
      </c>
      <c r="J33" s="695">
        <f>výdavky!G257</f>
        <v>1000</v>
      </c>
      <c r="K33" s="331">
        <f>výdavky!I257</f>
        <v>400</v>
      </c>
      <c r="L33" s="695">
        <f>výdavky!J257</f>
        <v>0</v>
      </c>
      <c r="M33" s="331">
        <f>výdavky!K257</f>
        <v>0</v>
      </c>
      <c r="N33" s="695">
        <f>výdavky!L257</f>
        <v>0</v>
      </c>
    </row>
    <row r="34" spans="1:14" x14ac:dyDescent="0.2">
      <c r="A34" s="183">
        <v>28</v>
      </c>
      <c r="B34" s="236"/>
      <c r="C34" s="265" t="s">
        <v>201</v>
      </c>
      <c r="D34" s="252">
        <v>5</v>
      </c>
      <c r="E34" s="253" t="s">
        <v>202</v>
      </c>
      <c r="F34" s="254"/>
      <c r="G34" s="255"/>
      <c r="H34" s="695">
        <f>výdavky!E258</f>
        <v>11434</v>
      </c>
      <c r="I34" s="331">
        <f>výdavky!F258</f>
        <v>9900</v>
      </c>
      <c r="J34" s="695">
        <f>výdavky!G258</f>
        <v>3000</v>
      </c>
      <c r="K34" s="331">
        <f>výdavky!I258</f>
        <v>4500</v>
      </c>
      <c r="L34" s="695">
        <f>výdavky!J258</f>
        <v>3500</v>
      </c>
      <c r="M34" s="331">
        <f>výdavky!K258</f>
        <v>2500</v>
      </c>
      <c r="N34" s="695">
        <f>výdavky!L258</f>
        <v>1500</v>
      </c>
    </row>
    <row r="35" spans="1:14" x14ac:dyDescent="0.2">
      <c r="A35" s="183">
        <v>29</v>
      </c>
      <c r="B35" s="236"/>
      <c r="C35" s="265" t="s">
        <v>207</v>
      </c>
      <c r="D35" s="252">
        <v>6</v>
      </c>
      <c r="E35" s="253" t="s">
        <v>315</v>
      </c>
      <c r="F35" s="254"/>
      <c r="G35" s="255"/>
      <c r="H35" s="695">
        <f>výdavky!E263+výdavky!E262+výdavky!E265</f>
        <v>22076</v>
      </c>
      <c r="I35" s="331">
        <f>výdavky!F263+výdavky!F265+výdavky!F262</f>
        <v>38161</v>
      </c>
      <c r="J35" s="695">
        <f>výdavky!G263+výdavky!G262+výdavky!G265</f>
        <v>31700</v>
      </c>
      <c r="K35" s="331">
        <f>výdavky!I263+výdavky!I262+výdavky!I265+výdavky!I261</f>
        <v>4605</v>
      </c>
      <c r="L35" s="695">
        <f>výdavky!HJ63+výdavky!J262</f>
        <v>500</v>
      </c>
      <c r="M35" s="331">
        <f>výdavky!K263+výdavky!K262</f>
        <v>500</v>
      </c>
      <c r="N35" s="695">
        <f>výdavky!L263+výdavky!L262</f>
        <v>500</v>
      </c>
    </row>
    <row r="36" spans="1:14" x14ac:dyDescent="0.2">
      <c r="A36" s="183">
        <v>30</v>
      </c>
      <c r="B36" s="236"/>
      <c r="C36" s="265" t="s">
        <v>207</v>
      </c>
      <c r="D36" s="252">
        <v>7</v>
      </c>
      <c r="E36" s="253" t="s">
        <v>316</v>
      </c>
      <c r="F36" s="254"/>
      <c r="G36" s="255"/>
      <c r="H36" s="695">
        <f>výdavky!E261</f>
        <v>304</v>
      </c>
      <c r="I36" s="331">
        <f>výdavky!F261</f>
        <v>72</v>
      </c>
      <c r="J36" s="695">
        <f>výdavky!G261</f>
        <v>305</v>
      </c>
      <c r="K36" s="331">
        <f>výdavky!I266</f>
        <v>3828</v>
      </c>
      <c r="L36" s="695">
        <f>výdavky!J261</f>
        <v>305</v>
      </c>
      <c r="M36" s="331">
        <f>výdavky!K261</f>
        <v>305</v>
      </c>
      <c r="N36" s="695">
        <f>výdavky!L261</f>
        <v>305</v>
      </c>
    </row>
    <row r="37" spans="1:14" x14ac:dyDescent="0.2">
      <c r="A37" s="183">
        <v>31</v>
      </c>
      <c r="B37" s="236"/>
      <c r="C37" s="265"/>
      <c r="D37" s="3725" t="s">
        <v>184</v>
      </c>
      <c r="E37" s="3725"/>
      <c r="F37" s="840"/>
      <c r="G37" s="837"/>
      <c r="H37" s="1035">
        <f>H38</f>
        <v>6216370</v>
      </c>
      <c r="I37" s="839">
        <f>SUM(I38)</f>
        <v>2755994</v>
      </c>
      <c r="J37" s="1035">
        <f>J38</f>
        <v>0</v>
      </c>
      <c r="K37" s="839">
        <f>SUM(K38)</f>
        <v>3242</v>
      </c>
      <c r="L37" s="1035">
        <f>SUM(L38)</f>
        <v>0</v>
      </c>
      <c r="M37" s="839">
        <f>SUM(M38)</f>
        <v>0</v>
      </c>
      <c r="N37" s="1035">
        <f>SUM(N38)</f>
        <v>0</v>
      </c>
    </row>
    <row r="38" spans="1:14" x14ac:dyDescent="0.2">
      <c r="A38" s="183">
        <v>32</v>
      </c>
      <c r="B38" s="236"/>
      <c r="C38" s="395" t="s">
        <v>314</v>
      </c>
      <c r="D38" s="3724" t="s">
        <v>313</v>
      </c>
      <c r="E38" s="3724"/>
      <c r="F38" s="329"/>
      <c r="G38" s="246"/>
      <c r="H38" s="693">
        <f>H39+H40+H41</f>
        <v>6216370</v>
      </c>
      <c r="I38" s="3386">
        <f>SUM(I39,I40,I41)</f>
        <v>2755994</v>
      </c>
      <c r="J38" s="3394">
        <f>SUM(J39:J41)</f>
        <v>0</v>
      </c>
      <c r="K38" s="3386">
        <f>SUM(K39,K40,K41)</f>
        <v>3242</v>
      </c>
      <c r="L38" s="3394">
        <f>SUM(L39,L40,L41)</f>
        <v>0</v>
      </c>
      <c r="M38" s="3386">
        <f>SUM(M39,M40,M41)</f>
        <v>0</v>
      </c>
      <c r="N38" s="3394">
        <f>SUM(N39,N40,N41)</f>
        <v>0</v>
      </c>
    </row>
    <row r="39" spans="1:14" x14ac:dyDescent="0.2">
      <c r="A39" s="183">
        <v>33</v>
      </c>
      <c r="B39" s="236"/>
      <c r="C39" s="265" t="s">
        <v>292</v>
      </c>
      <c r="D39" s="252">
        <v>8</v>
      </c>
      <c r="E39" s="253" t="s">
        <v>618</v>
      </c>
      <c r="F39" s="225"/>
      <c r="G39" s="398"/>
      <c r="H39" s="1033">
        <f>výdavky!E691</f>
        <v>0</v>
      </c>
      <c r="I39" s="331">
        <f>výdavky!F702</f>
        <v>0</v>
      </c>
      <c r="J39" s="695">
        <f>výdavky!G702</f>
        <v>0</v>
      </c>
      <c r="K39" s="331">
        <f>výdavky!I691</f>
        <v>0</v>
      </c>
      <c r="L39" s="695">
        <f>výdavky!J690</f>
        <v>0</v>
      </c>
      <c r="M39" s="331">
        <f>výdavky!K690</f>
        <v>0</v>
      </c>
      <c r="N39" s="695">
        <f>výdavky!L690</f>
        <v>0</v>
      </c>
    </row>
    <row r="40" spans="1:14" x14ac:dyDescent="0.2">
      <c r="A40" s="183">
        <v>34</v>
      </c>
      <c r="B40" s="236"/>
      <c r="C40" s="265"/>
      <c r="D40" s="399">
        <v>9</v>
      </c>
      <c r="E40" s="253" t="s">
        <v>317</v>
      </c>
      <c r="F40" s="400"/>
      <c r="G40" s="401"/>
      <c r="H40" s="1038">
        <f>výdavky!E703</f>
        <v>6214044</v>
      </c>
      <c r="I40" s="681">
        <f>výdavky!F703</f>
        <v>2753708</v>
      </c>
      <c r="J40" s="698">
        <f>výdavky!G701</f>
        <v>0</v>
      </c>
      <c r="K40" s="681">
        <f>výdavky!I701</f>
        <v>3242</v>
      </c>
      <c r="L40" s="698">
        <f>výdavky!J703</f>
        <v>0</v>
      </c>
      <c r="M40" s="681">
        <f>výdavky!K703</f>
        <v>0</v>
      </c>
      <c r="N40" s="698"/>
    </row>
    <row r="41" spans="1:14" s="242" customFormat="1" x14ac:dyDescent="0.2">
      <c r="A41" s="183">
        <v>35</v>
      </c>
      <c r="B41" s="241"/>
      <c r="C41" s="265"/>
      <c r="D41" s="252">
        <v>10</v>
      </c>
      <c r="E41" s="253" t="s">
        <v>458</v>
      </c>
      <c r="F41" s="254"/>
      <c r="G41" s="235">
        <v>78.099999999999994</v>
      </c>
      <c r="H41" s="695">
        <f>výdavky!E705</f>
        <v>2326</v>
      </c>
      <c r="I41" s="331">
        <f>výdavky!F705</f>
        <v>2286</v>
      </c>
      <c r="J41" s="695">
        <f>výdavky!G705</f>
        <v>0</v>
      </c>
      <c r="K41" s="331">
        <f>výdavky!I705</f>
        <v>0</v>
      </c>
      <c r="L41" s="695">
        <f>výdavky!J705</f>
        <v>0</v>
      </c>
      <c r="M41" s="331">
        <f>výdavky!K705</f>
        <v>0</v>
      </c>
      <c r="N41" s="695">
        <f>výdavky!L705</f>
        <v>0</v>
      </c>
    </row>
    <row r="42" spans="1:14" s="242" customFormat="1" x14ac:dyDescent="0.2">
      <c r="A42" s="183">
        <v>36</v>
      </c>
      <c r="B42" s="216"/>
      <c r="C42" s="3410"/>
      <c r="D42" s="973" t="s">
        <v>185</v>
      </c>
      <c r="E42" s="974"/>
      <c r="F42" s="3345"/>
      <c r="G42" s="221"/>
      <c r="H42" s="3383">
        <f t="shared" ref="H42:N42" si="6">H43</f>
        <v>5615422</v>
      </c>
      <c r="I42" s="3387">
        <f t="shared" si="6"/>
        <v>2677140</v>
      </c>
      <c r="J42" s="3383">
        <f t="shared" si="6"/>
        <v>1126730</v>
      </c>
      <c r="K42" s="3387">
        <f>K43</f>
        <v>1149954</v>
      </c>
      <c r="L42" s="3383">
        <f t="shared" si="6"/>
        <v>125292</v>
      </c>
      <c r="M42" s="3387">
        <f t="shared" si="6"/>
        <v>125000</v>
      </c>
      <c r="N42" s="3383">
        <f t="shared" si="6"/>
        <v>115000</v>
      </c>
    </row>
    <row r="43" spans="1:14" s="242" customFormat="1" x14ac:dyDescent="0.2">
      <c r="A43" s="183">
        <v>37</v>
      </c>
      <c r="B43" s="216"/>
      <c r="C43" s="3411" t="s">
        <v>314</v>
      </c>
      <c r="D43" s="3726" t="s">
        <v>313</v>
      </c>
      <c r="E43" s="3726"/>
      <c r="F43" s="3316"/>
      <c r="G43" s="221"/>
      <c r="H43" s="3384">
        <f t="shared" ref="H43:N43" si="7">H44+H45+H46</f>
        <v>5615422</v>
      </c>
      <c r="I43" s="3388">
        <f t="shared" si="7"/>
        <v>2677140</v>
      </c>
      <c r="J43" s="3384">
        <f t="shared" si="7"/>
        <v>1126730</v>
      </c>
      <c r="K43" s="3388">
        <f t="shared" si="7"/>
        <v>1149954</v>
      </c>
      <c r="L43" s="3384">
        <f t="shared" si="7"/>
        <v>125292</v>
      </c>
      <c r="M43" s="3388">
        <f t="shared" si="7"/>
        <v>125000</v>
      </c>
      <c r="N43" s="3384">
        <f t="shared" si="7"/>
        <v>115000</v>
      </c>
    </row>
    <row r="44" spans="1:14" s="242" customFormat="1" x14ac:dyDescent="0.2">
      <c r="A44" s="183">
        <v>38</v>
      </c>
      <c r="B44" s="216"/>
      <c r="C44" s="3410"/>
      <c r="D44" s="3407">
        <v>12</v>
      </c>
      <c r="E44" s="803" t="s">
        <v>813</v>
      </c>
      <c r="F44" s="3409"/>
      <c r="G44" s="221"/>
      <c r="H44" s="699">
        <f>výdavky!E778</f>
        <v>0</v>
      </c>
      <c r="I44" s="685">
        <f>výdavky!F778</f>
        <v>0</v>
      </c>
      <c r="J44" s="699">
        <f>výdavky!G778</f>
        <v>15000</v>
      </c>
      <c r="K44" s="685">
        <f>výdavky!I778</f>
        <v>38700</v>
      </c>
      <c r="L44" s="699">
        <f>výdavky!J778</f>
        <v>38700</v>
      </c>
      <c r="M44" s="685">
        <f>výdavky!K778</f>
        <v>30000</v>
      </c>
      <c r="N44" s="699">
        <f>výdavky!L778</f>
        <v>20000</v>
      </c>
    </row>
    <row r="45" spans="1:14" s="242" customFormat="1" x14ac:dyDescent="0.2">
      <c r="A45" s="183">
        <v>39</v>
      </c>
      <c r="B45" s="216"/>
      <c r="C45" s="3410"/>
      <c r="D45" s="3407">
        <v>13</v>
      </c>
      <c r="E45" s="803" t="s">
        <v>1001</v>
      </c>
      <c r="F45" s="3409"/>
      <c r="G45" s="221"/>
      <c r="H45" s="699">
        <f>výdavky!E780</f>
        <v>5615422</v>
      </c>
      <c r="I45" s="685">
        <f>výdavky!F780</f>
        <v>2651080</v>
      </c>
      <c r="J45" s="699">
        <f>výdavky!G780</f>
        <v>1033550</v>
      </c>
      <c r="K45" s="685">
        <f>výdavky!I780</f>
        <v>1033074</v>
      </c>
      <c r="L45" s="699">
        <f>výdavky!J780</f>
        <v>0</v>
      </c>
      <c r="M45" s="685">
        <f>výdavky!K780</f>
        <v>0</v>
      </c>
      <c r="N45" s="699">
        <f>výdavky!L780</f>
        <v>0</v>
      </c>
    </row>
    <row r="46" spans="1:14" s="242" customFormat="1" x14ac:dyDescent="0.2">
      <c r="A46" s="183">
        <v>40</v>
      </c>
      <c r="B46" s="216"/>
      <c r="C46" s="265"/>
      <c r="D46" s="3407">
        <v>14</v>
      </c>
      <c r="E46" s="803" t="s">
        <v>1002</v>
      </c>
      <c r="F46" s="3408"/>
      <c r="G46" s="3412"/>
      <c r="H46" s="3413">
        <f>výdavky!E781</f>
        <v>0</v>
      </c>
      <c r="I46" s="3414">
        <f>výdavky!F781</f>
        <v>26060</v>
      </c>
      <c r="J46" s="3413">
        <f>výdavky!G781</f>
        <v>78180</v>
      </c>
      <c r="K46" s="3414">
        <f>výdavky!I781</f>
        <v>78180</v>
      </c>
      <c r="L46" s="3413">
        <f>výdavky!J781</f>
        <v>86592</v>
      </c>
      <c r="M46" s="3414">
        <f>výdavky!K781</f>
        <v>95000</v>
      </c>
      <c r="N46" s="3413">
        <f>výdavky!L781</f>
        <v>95000</v>
      </c>
    </row>
    <row r="47" spans="1:14" x14ac:dyDescent="0.2">
      <c r="A47" s="183">
        <v>41</v>
      </c>
      <c r="B47" s="284">
        <v>3</v>
      </c>
      <c r="C47" s="393" t="s">
        <v>318</v>
      </c>
      <c r="D47" s="190"/>
      <c r="E47" s="190"/>
      <c r="F47" s="190"/>
      <c r="G47" s="403"/>
      <c r="H47" s="1040">
        <f t="shared" ref="H47:N47" si="8">H48</f>
        <v>0</v>
      </c>
      <c r="I47" s="3389">
        <f t="shared" si="8"/>
        <v>0</v>
      </c>
      <c r="J47" s="3395">
        <f t="shared" si="8"/>
        <v>0</v>
      </c>
      <c r="K47" s="3400">
        <f t="shared" si="8"/>
        <v>0</v>
      </c>
      <c r="L47" s="3402">
        <f t="shared" si="8"/>
        <v>0</v>
      </c>
      <c r="M47" s="3400">
        <f t="shared" si="8"/>
        <v>0</v>
      </c>
      <c r="N47" s="3402">
        <f t="shared" si="8"/>
        <v>0</v>
      </c>
    </row>
    <row r="48" spans="1:14" x14ac:dyDescent="0.2">
      <c r="A48" s="183">
        <v>42</v>
      </c>
      <c r="B48" s="404"/>
      <c r="C48" s="405"/>
      <c r="D48" s="186" t="s">
        <v>182</v>
      </c>
      <c r="E48" s="205"/>
      <c r="F48" s="205"/>
      <c r="G48" s="983"/>
      <c r="H48" s="1041">
        <f>H49</f>
        <v>0</v>
      </c>
      <c r="I48" s="3390">
        <f>I50+I51</f>
        <v>0</v>
      </c>
      <c r="J48" s="3396">
        <f>J49</f>
        <v>0</v>
      </c>
      <c r="K48" s="185">
        <f>K50+K51</f>
        <v>0</v>
      </c>
      <c r="L48" s="3403">
        <f>L50+L51</f>
        <v>0</v>
      </c>
      <c r="M48" s="185">
        <f>M50+M51</f>
        <v>0</v>
      </c>
      <c r="N48" s="3403">
        <f>N50+N51</f>
        <v>0</v>
      </c>
    </row>
    <row r="49" spans="1:14" x14ac:dyDescent="0.2">
      <c r="A49" s="183">
        <v>43</v>
      </c>
      <c r="B49" s="404"/>
      <c r="C49" s="984" t="s">
        <v>319</v>
      </c>
      <c r="D49" s="3724" t="s">
        <v>318</v>
      </c>
      <c r="E49" s="3724"/>
      <c r="F49" s="328"/>
      <c r="G49" s="985"/>
      <c r="H49" s="1042">
        <f t="shared" ref="H49:N49" si="9">H50+H51</f>
        <v>0</v>
      </c>
      <c r="I49" s="3391">
        <f t="shared" si="9"/>
        <v>0</v>
      </c>
      <c r="J49" s="3397">
        <f t="shared" si="9"/>
        <v>0</v>
      </c>
      <c r="K49" s="328">
        <f t="shared" si="9"/>
        <v>0</v>
      </c>
      <c r="L49" s="3404">
        <f t="shared" si="9"/>
        <v>0</v>
      </c>
      <c r="M49" s="328">
        <f t="shared" si="9"/>
        <v>0</v>
      </c>
      <c r="N49" s="3404">
        <f t="shared" si="9"/>
        <v>0</v>
      </c>
    </row>
    <row r="50" spans="1:14" x14ac:dyDescent="0.2">
      <c r="A50" s="183">
        <v>44</v>
      </c>
      <c r="B50" s="404"/>
      <c r="C50" s="406">
        <v>633</v>
      </c>
      <c r="D50" s="407">
        <v>1</v>
      </c>
      <c r="E50" s="274" t="s">
        <v>320</v>
      </c>
      <c r="F50" s="274"/>
      <c r="G50" s="274"/>
      <c r="H50" s="1039">
        <f>výdavky!E269</f>
        <v>0</v>
      </c>
      <c r="I50" s="3392">
        <f>SUM(výdavky!F269)</f>
        <v>0</v>
      </c>
      <c r="J50" s="3398">
        <f>výdavky!G269</f>
        <v>0</v>
      </c>
      <c r="K50" s="3401">
        <f>výdavky!G269</f>
        <v>0</v>
      </c>
      <c r="L50" s="905">
        <f>výdavky!J269</f>
        <v>0</v>
      </c>
      <c r="M50" s="3401">
        <f>výdavky!K269</f>
        <v>0</v>
      </c>
      <c r="N50" s="1039">
        <f>výdavky!L269</f>
        <v>0</v>
      </c>
    </row>
    <row r="51" spans="1:14" ht="13.5" thickBot="1" x14ac:dyDescent="0.25">
      <c r="A51" s="296">
        <v>45</v>
      </c>
      <c r="B51" s="409"/>
      <c r="C51" s="410">
        <v>637</v>
      </c>
      <c r="D51" s="411">
        <v>2</v>
      </c>
      <c r="E51" s="412" t="s">
        <v>321</v>
      </c>
      <c r="F51" s="412"/>
      <c r="G51" s="412"/>
      <c r="H51" s="3382">
        <f>výdavky!E270</f>
        <v>0</v>
      </c>
      <c r="I51" s="3393">
        <f>výdavky!F270</f>
        <v>0</v>
      </c>
      <c r="J51" s="3399">
        <f>výdavky!G270</f>
        <v>0</v>
      </c>
      <c r="K51" s="412">
        <v>0</v>
      </c>
      <c r="L51" s="3405">
        <f>výdavky!J270</f>
        <v>0</v>
      </c>
      <c r="M51" s="3416">
        <f>výdavky!K270</f>
        <v>0</v>
      </c>
      <c r="N51" s="3382">
        <f>výdavky!L270</f>
        <v>0</v>
      </c>
    </row>
    <row r="52" spans="1:14" x14ac:dyDescent="0.2"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</row>
  </sheetData>
  <mergeCells count="6">
    <mergeCell ref="D49:E49"/>
    <mergeCell ref="G3:N3"/>
    <mergeCell ref="D4:F6"/>
    <mergeCell ref="D37:E37"/>
    <mergeCell ref="D38:E38"/>
    <mergeCell ref="D43:E43"/>
  </mergeCells>
  <phoneticPr fontId="44" type="noConversion"/>
  <pageMargins left="0.25" right="0.25" top="0.75" bottom="0.75" header="0.3" footer="0.3"/>
  <pageSetup paperSize="9" scale="81" firstPageNumber="0" fitToHeight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A35" sqref="A35"/>
    </sheetView>
  </sheetViews>
  <sheetFormatPr defaultRowHeight="12.75" x14ac:dyDescent="0.2"/>
  <cols>
    <col min="1" max="1" width="3.5703125" style="147" customWidth="1"/>
    <col min="2" max="2" width="4.140625" style="1" customWidth="1"/>
    <col min="3" max="3" width="7.5703125" customWidth="1"/>
    <col min="4" max="4" width="3.42578125" customWidth="1"/>
    <col min="5" max="5" width="31.42578125" customWidth="1"/>
    <col min="6" max="6" width="9.85546875" hidden="1" customWidth="1"/>
    <col min="7" max="7" width="0" hidden="1" customWidth="1"/>
    <col min="12" max="14" width="9.7109375" customWidth="1"/>
  </cols>
  <sheetData>
    <row r="1" spans="1:14" ht="15.75" x14ac:dyDescent="0.25">
      <c r="B1" s="151" t="s">
        <v>322</v>
      </c>
      <c r="E1" s="151" t="s">
        <v>323</v>
      </c>
      <c r="F1" s="149"/>
      <c r="G1" s="304" t="e">
        <f>G2-G7</f>
        <v>#REF!</v>
      </c>
      <c r="H1" s="304"/>
      <c r="I1" s="304"/>
      <c r="J1" s="304"/>
      <c r="K1" s="304"/>
      <c r="L1" s="305">
        <f>L2-L7</f>
        <v>0</v>
      </c>
      <c r="M1" s="305">
        <f>M2-M7</f>
        <v>0</v>
      </c>
      <c r="N1" s="305">
        <f>N2-N7</f>
        <v>0</v>
      </c>
    </row>
    <row r="2" spans="1:14" ht="15.75" x14ac:dyDescent="0.25">
      <c r="B2" s="151"/>
      <c r="G2" s="306" t="e">
        <f>SUM(G8:G10)</f>
        <v>#REF!</v>
      </c>
      <c r="H2" s="306"/>
      <c r="I2" s="306"/>
      <c r="J2" s="306"/>
      <c r="K2" s="306"/>
      <c r="L2" s="159">
        <f>SUM(L8:L10)</f>
        <v>72688</v>
      </c>
      <c r="M2" s="159">
        <f>SUM(M8:M10)</f>
        <v>26500</v>
      </c>
      <c r="N2" s="159">
        <f>SUM(N8:N10)</f>
        <v>24500</v>
      </c>
    </row>
    <row r="3" spans="1:14" ht="15.75" x14ac:dyDescent="0.25">
      <c r="A3" s="160"/>
      <c r="B3" s="161"/>
      <c r="C3" s="162"/>
      <c r="D3" s="162"/>
      <c r="E3" s="163"/>
      <c r="F3" s="164"/>
      <c r="G3" s="3713" t="s">
        <v>169</v>
      </c>
      <c r="H3" s="3713"/>
      <c r="I3" s="3713"/>
      <c r="J3" s="3713"/>
      <c r="K3" s="3713"/>
      <c r="L3" s="3713"/>
      <c r="M3" s="3713"/>
      <c r="N3" s="3713"/>
    </row>
    <row r="4" spans="1:14" ht="11.25" customHeight="1" x14ac:dyDescent="0.2">
      <c r="A4" s="165"/>
      <c r="B4" s="166" t="s">
        <v>170</v>
      </c>
      <c r="C4" s="167" t="s">
        <v>171</v>
      </c>
      <c r="D4" s="3716" t="s">
        <v>172</v>
      </c>
      <c r="E4" s="3716"/>
      <c r="F4" s="3716"/>
      <c r="G4" s="168"/>
      <c r="H4" s="890">
        <v>2019</v>
      </c>
      <c r="I4" s="169">
        <v>2020</v>
      </c>
      <c r="J4" s="169" t="s">
        <v>995</v>
      </c>
      <c r="K4" s="169" t="s">
        <v>992</v>
      </c>
      <c r="L4" s="169">
        <v>2022</v>
      </c>
      <c r="M4" s="169">
        <v>2023</v>
      </c>
      <c r="N4" s="169">
        <v>2024</v>
      </c>
    </row>
    <row r="5" spans="1:14" ht="15" customHeight="1" x14ac:dyDescent="0.2">
      <c r="A5" s="165"/>
      <c r="B5" s="166" t="s">
        <v>173</v>
      </c>
      <c r="C5" s="167" t="s">
        <v>174</v>
      </c>
      <c r="D5" s="3716"/>
      <c r="E5" s="3716"/>
      <c r="F5" s="3716"/>
      <c r="G5" s="170" t="s">
        <v>175</v>
      </c>
      <c r="H5" s="307" t="s">
        <v>176</v>
      </c>
      <c r="I5" s="171" t="s">
        <v>177</v>
      </c>
      <c r="J5" s="171" t="s">
        <v>176</v>
      </c>
      <c r="K5" s="171" t="s">
        <v>177</v>
      </c>
      <c r="L5" s="171" t="s">
        <v>176</v>
      </c>
      <c r="M5" s="171" t="s">
        <v>177</v>
      </c>
      <c r="N5" s="171" t="s">
        <v>177</v>
      </c>
    </row>
    <row r="6" spans="1:14" ht="13.5" thickBot="1" x14ac:dyDescent="0.25">
      <c r="A6" s="308"/>
      <c r="B6" s="309" t="s">
        <v>178</v>
      </c>
      <c r="C6" s="310" t="s">
        <v>179</v>
      </c>
      <c r="D6" s="3716"/>
      <c r="E6" s="3716"/>
      <c r="F6" s="3716"/>
      <c r="G6" s="311">
        <v>1</v>
      </c>
      <c r="H6" s="173">
        <v>-3</v>
      </c>
      <c r="I6" s="312">
        <v>-2</v>
      </c>
      <c r="J6" s="312">
        <v>-1</v>
      </c>
      <c r="K6" s="312">
        <v>-1</v>
      </c>
      <c r="L6" s="312">
        <v>0</v>
      </c>
      <c r="M6" s="312">
        <v>1</v>
      </c>
      <c r="N6" s="312">
        <v>2</v>
      </c>
    </row>
    <row r="7" spans="1:14" ht="15" x14ac:dyDescent="0.25">
      <c r="A7" s="183">
        <v>1</v>
      </c>
      <c r="B7" s="313" t="s">
        <v>322</v>
      </c>
      <c r="C7" s="314"/>
      <c r="D7" s="315"/>
      <c r="E7" s="316" t="s">
        <v>323</v>
      </c>
      <c r="F7" s="317"/>
      <c r="G7" s="318" t="e">
        <f>G11+G23</f>
        <v>#REF!</v>
      </c>
      <c r="H7" s="1823">
        <f>H8+H9+H10</f>
        <v>24558</v>
      </c>
      <c r="I7" s="1824">
        <f>SUM(I8:I10)</f>
        <v>18000</v>
      </c>
      <c r="J7" s="1772">
        <f>J8+J9+J10</f>
        <v>31550</v>
      </c>
      <c r="K7" s="1772">
        <f>SUM(K8:K10)</f>
        <v>20774</v>
      </c>
      <c r="L7" s="1827">
        <f>SUM(L8:L10)</f>
        <v>72688</v>
      </c>
      <c r="M7" s="1772">
        <f>SUM(M8:M10)</f>
        <v>26500</v>
      </c>
      <c r="N7" s="1772">
        <f>SUM(N8:N10)</f>
        <v>24500</v>
      </c>
    </row>
    <row r="8" spans="1:14" x14ac:dyDescent="0.2">
      <c r="A8" s="183">
        <f t="shared" ref="A8:A17" si="0">A7+1</f>
        <v>2</v>
      </c>
      <c r="B8" s="320" t="s">
        <v>181</v>
      </c>
      <c r="C8" s="827" t="s">
        <v>182</v>
      </c>
      <c r="D8" s="828"/>
      <c r="E8" s="829"/>
      <c r="F8" s="830"/>
      <c r="G8" s="831" t="e">
        <f>G12+G24</f>
        <v>#REF!</v>
      </c>
      <c r="H8" s="946">
        <f>H12+H24</f>
        <v>18938</v>
      </c>
      <c r="I8" s="913">
        <f>SUM(I12+I24)</f>
        <v>18000</v>
      </c>
      <c r="J8" s="832">
        <f>J12+J24</f>
        <v>16550</v>
      </c>
      <c r="K8" s="832">
        <f>SUM(K12+K24)</f>
        <v>20774</v>
      </c>
      <c r="L8" s="944">
        <f>SUM(L12+L24)</f>
        <v>28300</v>
      </c>
      <c r="M8" s="832">
        <f>SUM(M12+M24)</f>
        <v>26500</v>
      </c>
      <c r="N8" s="832">
        <f>SUM(N12+N24)</f>
        <v>24500</v>
      </c>
    </row>
    <row r="9" spans="1:14" x14ac:dyDescent="0.2">
      <c r="A9" s="183">
        <f t="shared" si="0"/>
        <v>3</v>
      </c>
      <c r="B9" s="320" t="s">
        <v>183</v>
      </c>
      <c r="C9" s="936" t="s">
        <v>184</v>
      </c>
      <c r="D9" s="937"/>
      <c r="E9" s="938"/>
      <c r="F9" s="939"/>
      <c r="G9" s="940" t="e">
        <f>#REF!</f>
        <v>#REF!</v>
      </c>
      <c r="H9" s="953">
        <f t="shared" ref="H9:N9" si="1">H18+H30</f>
        <v>5620</v>
      </c>
      <c r="I9" s="941">
        <f t="shared" si="1"/>
        <v>0</v>
      </c>
      <c r="J9" s="942">
        <f t="shared" si="1"/>
        <v>15000</v>
      </c>
      <c r="K9" s="942">
        <f t="shared" si="1"/>
        <v>0</v>
      </c>
      <c r="L9" s="942">
        <f t="shared" si="1"/>
        <v>44388</v>
      </c>
      <c r="M9" s="942">
        <f t="shared" si="1"/>
        <v>0</v>
      </c>
      <c r="N9" s="942">
        <f t="shared" si="1"/>
        <v>0</v>
      </c>
    </row>
    <row r="10" spans="1:14" ht="13.5" thickBot="1" x14ac:dyDescent="0.25">
      <c r="A10" s="183">
        <f t="shared" si="0"/>
        <v>4</v>
      </c>
      <c r="B10" s="321"/>
      <c r="C10" s="855" t="s">
        <v>185</v>
      </c>
      <c r="D10" s="856"/>
      <c r="E10" s="857"/>
      <c r="F10" s="858"/>
      <c r="G10" s="964">
        <v>0</v>
      </c>
      <c r="H10" s="1016">
        <v>0</v>
      </c>
      <c r="I10" s="980">
        <v>0</v>
      </c>
      <c r="J10" s="981">
        <v>0</v>
      </c>
      <c r="K10" s="981">
        <v>0</v>
      </c>
      <c r="L10" s="982">
        <v>0</v>
      </c>
      <c r="M10" s="981">
        <v>0</v>
      </c>
      <c r="N10" s="981">
        <v>0</v>
      </c>
    </row>
    <row r="11" spans="1:14" ht="13.5" thickTop="1" x14ac:dyDescent="0.2">
      <c r="A11" s="183">
        <f t="shared" si="0"/>
        <v>5</v>
      </c>
      <c r="B11" s="322">
        <v>1</v>
      </c>
      <c r="C11" s="289" t="s">
        <v>324</v>
      </c>
      <c r="D11" s="190"/>
      <c r="E11" s="190"/>
      <c r="F11" s="191"/>
      <c r="G11" s="192" t="e">
        <f>SUM(G13)+#REF!</f>
        <v>#REF!</v>
      </c>
      <c r="H11" s="762">
        <f>H12+H18</f>
        <v>7570</v>
      </c>
      <c r="I11" s="391">
        <f>SUM(I12,I18)</f>
        <v>2124</v>
      </c>
      <c r="J11" s="193">
        <f>J12+J18</f>
        <v>16000</v>
      </c>
      <c r="K11" s="193">
        <f>SUM(K12,K18)</f>
        <v>850</v>
      </c>
      <c r="L11" s="193">
        <f>SUM(L12,L18)</f>
        <v>15388</v>
      </c>
      <c r="M11" s="193">
        <f>SUM(M12,M18)</f>
        <v>1000</v>
      </c>
      <c r="N11" s="193">
        <f>SUM(N12,N18)</f>
        <v>1000</v>
      </c>
    </row>
    <row r="12" spans="1:14" s="242" customFormat="1" x14ac:dyDescent="0.2">
      <c r="A12" s="183">
        <f t="shared" si="0"/>
        <v>6</v>
      </c>
      <c r="B12" s="324"/>
      <c r="C12" s="204"/>
      <c r="D12" s="186" t="s">
        <v>182</v>
      </c>
      <c r="E12" s="205"/>
      <c r="F12" s="206"/>
      <c r="G12" s="207" t="e">
        <f t="shared" ref="G12:N12" si="2">G13</f>
        <v>#REF!</v>
      </c>
      <c r="H12" s="692">
        <f>H13</f>
        <v>1950</v>
      </c>
      <c r="I12" s="359">
        <f t="shared" si="2"/>
        <v>2124</v>
      </c>
      <c r="J12" s="208">
        <f>J13</f>
        <v>1000</v>
      </c>
      <c r="K12" s="208">
        <f t="shared" si="2"/>
        <v>850</v>
      </c>
      <c r="L12" s="208">
        <f t="shared" si="2"/>
        <v>1000</v>
      </c>
      <c r="M12" s="208">
        <f t="shared" si="2"/>
        <v>1000</v>
      </c>
      <c r="N12" s="208">
        <f t="shared" si="2"/>
        <v>1000</v>
      </c>
    </row>
    <row r="13" spans="1:14" x14ac:dyDescent="0.2">
      <c r="A13" s="183">
        <f t="shared" si="0"/>
        <v>7</v>
      </c>
      <c r="B13" s="326"/>
      <c r="C13" s="327" t="s">
        <v>325</v>
      </c>
      <c r="D13" s="244" t="s">
        <v>324</v>
      </c>
      <c r="E13" s="328"/>
      <c r="F13" s="329"/>
      <c r="G13" s="246" t="e">
        <f>SUM(#REF!)</f>
        <v>#REF!</v>
      </c>
      <c r="H13" s="693">
        <f>SUM(H14:H17)</f>
        <v>1950</v>
      </c>
      <c r="I13" s="392">
        <f>SUM(I14,I15,I16,I17)</f>
        <v>2124</v>
      </c>
      <c r="J13" s="215">
        <f>SUM(J14:J17)</f>
        <v>1000</v>
      </c>
      <c r="K13" s="215">
        <f>SUM(K14,K15,K16,K17)</f>
        <v>850</v>
      </c>
      <c r="L13" s="215">
        <f>SUM(L14,L15,L16,L17)</f>
        <v>1000</v>
      </c>
      <c r="M13" s="215">
        <f>SUM(M14,M15,M16,M17)</f>
        <v>1000</v>
      </c>
      <c r="N13" s="215">
        <f>SUM(N14,N15,N16,N17)</f>
        <v>1000</v>
      </c>
    </row>
    <row r="14" spans="1:14" x14ac:dyDescent="0.2">
      <c r="A14" s="183">
        <f t="shared" si="0"/>
        <v>8</v>
      </c>
      <c r="B14" s="326"/>
      <c r="C14" s="265" t="s">
        <v>191</v>
      </c>
      <c r="D14" s="266" t="s">
        <v>216</v>
      </c>
      <c r="E14" s="224" t="s">
        <v>326</v>
      </c>
      <c r="F14" s="254"/>
      <c r="G14" s="255"/>
      <c r="H14" s="1033">
        <f>výdavky!E280</f>
        <v>0</v>
      </c>
      <c r="I14" s="361">
        <f>výdavky!F280</f>
        <v>0</v>
      </c>
      <c r="J14" s="227">
        <f>výdavky!G280</f>
        <v>0</v>
      </c>
      <c r="K14" s="227">
        <f>výdavky!I280</f>
        <v>0</v>
      </c>
      <c r="L14" s="227">
        <f>výdavky!J280</f>
        <v>0</v>
      </c>
      <c r="M14" s="227">
        <f>výdavky!K280</f>
        <v>0</v>
      </c>
      <c r="N14" s="227">
        <f>výdavky!L280</f>
        <v>0</v>
      </c>
    </row>
    <row r="15" spans="1:14" x14ac:dyDescent="0.2">
      <c r="A15" s="183">
        <f t="shared" si="0"/>
        <v>9</v>
      </c>
      <c r="B15" s="326"/>
      <c r="C15" s="265" t="s">
        <v>197</v>
      </c>
      <c r="D15" s="266" t="s">
        <v>218</v>
      </c>
      <c r="E15" s="224" t="s">
        <v>198</v>
      </c>
      <c r="F15" s="254"/>
      <c r="G15" s="255"/>
      <c r="H15" s="1033">
        <f>výdavky!E281</f>
        <v>0</v>
      </c>
      <c r="I15" s="361">
        <f>výdavky!F281</f>
        <v>0</v>
      </c>
      <c r="J15" s="227">
        <f>výdavky!G281</f>
        <v>0</v>
      </c>
      <c r="K15" s="227">
        <f>výdavky!I281</f>
        <v>0</v>
      </c>
      <c r="L15" s="227">
        <f>výdavky!J281</f>
        <v>0</v>
      </c>
      <c r="M15" s="227">
        <f>výdavky!K281</f>
        <v>0</v>
      </c>
      <c r="N15" s="227">
        <f>výdavky!L281</f>
        <v>0</v>
      </c>
    </row>
    <row r="16" spans="1:14" x14ac:dyDescent="0.2">
      <c r="A16" s="183">
        <f t="shared" si="0"/>
        <v>10</v>
      </c>
      <c r="B16" s="326"/>
      <c r="C16" s="265" t="s">
        <v>207</v>
      </c>
      <c r="D16" s="266" t="s">
        <v>229</v>
      </c>
      <c r="E16" s="224" t="s">
        <v>208</v>
      </c>
      <c r="F16" s="254"/>
      <c r="G16" s="255"/>
      <c r="H16" s="1033">
        <f>výdavky!E282</f>
        <v>0</v>
      </c>
      <c r="I16" s="361">
        <f>výdavky!F282</f>
        <v>0</v>
      </c>
      <c r="J16" s="227">
        <f>výdavky!G282</f>
        <v>1000</v>
      </c>
      <c r="K16" s="227">
        <f>výdavky!I282</f>
        <v>850</v>
      </c>
      <c r="L16" s="227">
        <f>výdavky!J282</f>
        <v>1000</v>
      </c>
      <c r="M16" s="227">
        <f>výdavky!K282</f>
        <v>1000</v>
      </c>
      <c r="N16" s="227">
        <f>výdavky!L282</f>
        <v>1000</v>
      </c>
    </row>
    <row r="17" spans="1:14" x14ac:dyDescent="0.2">
      <c r="A17" s="183">
        <f t="shared" si="0"/>
        <v>11</v>
      </c>
      <c r="B17" s="326"/>
      <c r="C17" s="265" t="s">
        <v>207</v>
      </c>
      <c r="D17" s="266" t="s">
        <v>231</v>
      </c>
      <c r="E17" s="224" t="s">
        <v>327</v>
      </c>
      <c r="F17" s="413"/>
      <c r="G17" s="414"/>
      <c r="H17" s="695">
        <f>výdavky!E283</f>
        <v>1950</v>
      </c>
      <c r="I17" s="361">
        <f>výdavky!F283</f>
        <v>2124</v>
      </c>
      <c r="J17" s="227">
        <f>výdavky!G283</f>
        <v>0</v>
      </c>
      <c r="K17" s="227">
        <f>výdavky!I283</f>
        <v>0</v>
      </c>
      <c r="L17" s="227">
        <f>výdavky!J283</f>
        <v>0</v>
      </c>
      <c r="M17" s="227">
        <f>výdavky!K283</f>
        <v>0</v>
      </c>
      <c r="N17" s="227">
        <f>výdavky!L283</f>
        <v>0</v>
      </c>
    </row>
    <row r="18" spans="1:14" x14ac:dyDescent="0.2">
      <c r="A18" s="183">
        <v>12</v>
      </c>
      <c r="B18" s="209"/>
      <c r="C18" s="267"/>
      <c r="D18" s="750" t="s">
        <v>184</v>
      </c>
      <c r="E18" s="753"/>
      <c r="F18" s="758"/>
      <c r="G18" s="759">
        <f>G20</f>
        <v>0</v>
      </c>
      <c r="H18" s="765">
        <f t="shared" ref="H18:N18" si="3">H19</f>
        <v>5620</v>
      </c>
      <c r="I18" s="761">
        <f t="shared" si="3"/>
        <v>0</v>
      </c>
      <c r="J18" s="760">
        <f t="shared" si="3"/>
        <v>15000</v>
      </c>
      <c r="K18" s="760">
        <f t="shared" si="3"/>
        <v>0</v>
      </c>
      <c r="L18" s="760">
        <f t="shared" si="3"/>
        <v>14388</v>
      </c>
      <c r="M18" s="760">
        <f t="shared" si="3"/>
        <v>0</v>
      </c>
      <c r="N18" s="760">
        <f t="shared" si="3"/>
        <v>0</v>
      </c>
    </row>
    <row r="19" spans="1:14" x14ac:dyDescent="0.2">
      <c r="A19" s="183">
        <f>A18+1</f>
        <v>13</v>
      </c>
      <c r="B19" s="209"/>
      <c r="C19" s="210" t="s">
        <v>325</v>
      </c>
      <c r="D19" s="211" t="s">
        <v>324</v>
      </c>
      <c r="E19" s="212"/>
      <c r="F19" s="213"/>
      <c r="G19" s="214">
        <f>SUM(G20:G25)</f>
        <v>234.29999999999998</v>
      </c>
      <c r="H19" s="1034">
        <f>SUM(H20:H22)</f>
        <v>5620</v>
      </c>
      <c r="I19" s="1036">
        <f>SUM(I20,I21,I22)</f>
        <v>0</v>
      </c>
      <c r="J19" s="1037">
        <f>SUM(J20:J22)</f>
        <v>15000</v>
      </c>
      <c r="K19" s="1037">
        <f>SUM(K20,K21,K22)</f>
        <v>0</v>
      </c>
      <c r="L19" s="1037">
        <f>SUM(L20,L21,L22)</f>
        <v>14388</v>
      </c>
      <c r="M19" s="1037">
        <f>SUM(M20,M21,M22)</f>
        <v>0</v>
      </c>
      <c r="N19" s="1037">
        <f>SUM(N20,N21,N22)</f>
        <v>0</v>
      </c>
    </row>
    <row r="20" spans="1:14" x14ac:dyDescent="0.2">
      <c r="A20" s="183">
        <f>A19+1</f>
        <v>14</v>
      </c>
      <c r="B20" s="326"/>
      <c r="C20" s="265" t="s">
        <v>328</v>
      </c>
      <c r="D20" s="266" t="s">
        <v>233</v>
      </c>
      <c r="E20" s="351" t="s">
        <v>329</v>
      </c>
      <c r="F20" s="234"/>
      <c r="G20" s="235"/>
      <c r="H20" s="695">
        <f>výdavky!E708</f>
        <v>5620</v>
      </c>
      <c r="I20" s="361">
        <f>výdavky!F708</f>
        <v>0</v>
      </c>
      <c r="J20" s="227">
        <f>výdavky!G708</f>
        <v>0</v>
      </c>
      <c r="K20" s="227">
        <f>výdavky!I708</f>
        <v>0</v>
      </c>
      <c r="L20" s="227">
        <f>výdavky!J708</f>
        <v>0</v>
      </c>
      <c r="M20" s="227">
        <v>0</v>
      </c>
      <c r="N20" s="227">
        <v>0</v>
      </c>
    </row>
    <row r="21" spans="1:14" x14ac:dyDescent="0.2">
      <c r="A21" s="183">
        <v>15</v>
      </c>
      <c r="B21" s="326"/>
      <c r="C21" s="265" t="s">
        <v>330</v>
      </c>
      <c r="D21" s="266" t="s">
        <v>237</v>
      </c>
      <c r="E21" s="351" t="s">
        <v>1003</v>
      </c>
      <c r="F21" s="234"/>
      <c r="G21" s="235"/>
      <c r="H21" s="695">
        <f>výdavky!E713+výdavky!E712+výdavky!E711</f>
        <v>0</v>
      </c>
      <c r="I21" s="361">
        <f>výdavky!F711+výdavky!F712+výdavky!F713</f>
        <v>0</v>
      </c>
      <c r="J21" s="227">
        <f>výdavky!G707</f>
        <v>15000</v>
      </c>
      <c r="K21" s="227">
        <f>výdavky!I711+výdavky!I712+výdavky!I713</f>
        <v>0</v>
      </c>
      <c r="L21" s="227">
        <f>výdavky!J707+výdavky!J710+výdavky!J711+výdavky!J712+výdavky!J713</f>
        <v>14388</v>
      </c>
      <c r="M21" s="227">
        <v>0</v>
      </c>
      <c r="N21" s="227">
        <v>0</v>
      </c>
    </row>
    <row r="22" spans="1:14" x14ac:dyDescent="0.2">
      <c r="A22" s="183">
        <v>16</v>
      </c>
      <c r="B22" s="326"/>
      <c r="C22" s="265" t="s">
        <v>330</v>
      </c>
      <c r="D22" s="266" t="s">
        <v>239</v>
      </c>
      <c r="E22" s="351" t="s">
        <v>705</v>
      </c>
      <c r="F22" s="234"/>
      <c r="G22" s="235"/>
      <c r="H22" s="695">
        <f>výdavky!E707</f>
        <v>0</v>
      </c>
      <c r="I22" s="361">
        <f>výdavky!F710</f>
        <v>0</v>
      </c>
      <c r="J22" s="227"/>
      <c r="K22" s="227">
        <f>výdavky!I710</f>
        <v>0</v>
      </c>
      <c r="L22" s="227">
        <v>0</v>
      </c>
      <c r="M22" s="227">
        <v>0</v>
      </c>
      <c r="N22" s="227">
        <v>0</v>
      </c>
    </row>
    <row r="23" spans="1:14" x14ac:dyDescent="0.2">
      <c r="A23" s="183">
        <f>A22+1</f>
        <v>17</v>
      </c>
      <c r="B23" s="322">
        <v>2</v>
      </c>
      <c r="C23" s="393" t="s">
        <v>331</v>
      </c>
      <c r="D23" s="190"/>
      <c r="E23" s="190"/>
      <c r="F23" s="191"/>
      <c r="G23" s="192">
        <f>SUM(G25)</f>
        <v>78.099999999999994</v>
      </c>
      <c r="H23" s="691">
        <f>H24+H30</f>
        <v>16988</v>
      </c>
      <c r="I23" s="362">
        <f t="shared" ref="I23:N24" si="4">I24</f>
        <v>15876</v>
      </c>
      <c r="J23" s="194">
        <f>J24+J30</f>
        <v>15550</v>
      </c>
      <c r="K23" s="194">
        <f t="shared" si="4"/>
        <v>19924</v>
      </c>
      <c r="L23" s="194">
        <f t="shared" si="4"/>
        <v>27300</v>
      </c>
      <c r="M23" s="194">
        <f t="shared" si="4"/>
        <v>25500</v>
      </c>
      <c r="N23" s="194">
        <f t="shared" si="4"/>
        <v>23500</v>
      </c>
    </row>
    <row r="24" spans="1:14" s="242" customFormat="1" x14ac:dyDescent="0.2">
      <c r="A24" s="183">
        <f>A23+1</f>
        <v>18</v>
      </c>
      <c r="B24" s="324"/>
      <c r="C24" s="394"/>
      <c r="D24" s="186" t="s">
        <v>182</v>
      </c>
      <c r="E24" s="205"/>
      <c r="F24" s="206"/>
      <c r="G24" s="207">
        <f>G25</f>
        <v>78.099999999999994</v>
      </c>
      <c r="H24" s="692">
        <f>H25</f>
        <v>16988</v>
      </c>
      <c r="I24" s="359">
        <f t="shared" si="4"/>
        <v>15876</v>
      </c>
      <c r="J24" s="208">
        <f>J25</f>
        <v>15550</v>
      </c>
      <c r="K24" s="208">
        <f t="shared" si="4"/>
        <v>19924</v>
      </c>
      <c r="L24" s="208">
        <f t="shared" si="4"/>
        <v>27300</v>
      </c>
      <c r="M24" s="208">
        <f t="shared" si="4"/>
        <v>25500</v>
      </c>
      <c r="N24" s="208">
        <f t="shared" si="4"/>
        <v>23500</v>
      </c>
    </row>
    <row r="25" spans="1:14" x14ac:dyDescent="0.2">
      <c r="A25" s="183">
        <f>A24+1</f>
        <v>19</v>
      </c>
      <c r="B25" s="326"/>
      <c r="C25" s="395" t="s">
        <v>332</v>
      </c>
      <c r="D25" s="244" t="s">
        <v>331</v>
      </c>
      <c r="E25" s="328"/>
      <c r="F25" s="329"/>
      <c r="G25" s="246">
        <f>G34</f>
        <v>78.099999999999994</v>
      </c>
      <c r="H25" s="693">
        <f>SUM(H26:H29)</f>
        <v>16988</v>
      </c>
      <c r="I25" s="392">
        <f>I34+SUM(I26,I27,I28,I29)</f>
        <v>15876</v>
      </c>
      <c r="J25" s="215">
        <f>SUM(J26:J29)</f>
        <v>15550</v>
      </c>
      <c r="K25" s="215">
        <f>K34+SUM(K26,K27,K28,K29)</f>
        <v>19924</v>
      </c>
      <c r="L25" s="215">
        <f>L34+SUM(L26,L27,L28,L29)</f>
        <v>27300</v>
      </c>
      <c r="M25" s="215">
        <f>M34+SUM(M26,M27,M28,M29)</f>
        <v>25500</v>
      </c>
      <c r="N25" s="215">
        <f>N34+SUM(N26,N27,N28,N29)</f>
        <v>23500</v>
      </c>
    </row>
    <row r="26" spans="1:14" x14ac:dyDescent="0.2">
      <c r="A26" s="183">
        <v>20</v>
      </c>
      <c r="B26" s="326"/>
      <c r="C26" s="265" t="s">
        <v>197</v>
      </c>
      <c r="D26" s="252">
        <v>1</v>
      </c>
      <c r="E26" s="253" t="s">
        <v>198</v>
      </c>
      <c r="F26" s="254"/>
      <c r="G26" s="255"/>
      <c r="H26" s="1033">
        <f>výdavky!E286</f>
        <v>13732</v>
      </c>
      <c r="I26" s="361">
        <f>výdavky!F286</f>
        <v>12995</v>
      </c>
      <c r="J26" s="227">
        <f>výdavky!G286</f>
        <v>14050</v>
      </c>
      <c r="K26" s="227">
        <f>výdavky!I286</f>
        <v>16000</v>
      </c>
      <c r="L26" s="227">
        <f>výdavky!J286</f>
        <v>22000</v>
      </c>
      <c r="M26" s="227">
        <f>výdavky!K286</f>
        <v>22000</v>
      </c>
      <c r="N26" s="227">
        <f>výdavky!L286</f>
        <v>20000</v>
      </c>
    </row>
    <row r="27" spans="1:14" x14ac:dyDescent="0.2">
      <c r="A27" s="183">
        <v>21</v>
      </c>
      <c r="B27" s="326"/>
      <c r="C27" s="265" t="s">
        <v>199</v>
      </c>
      <c r="D27" s="252">
        <v>2</v>
      </c>
      <c r="E27" s="253" t="s">
        <v>200</v>
      </c>
      <c r="F27" s="254"/>
      <c r="G27" s="255"/>
      <c r="H27" s="1033">
        <f>výdavky!E287</f>
        <v>3256</v>
      </c>
      <c r="I27" s="361">
        <f>výdavky!F287</f>
        <v>2184</v>
      </c>
      <c r="J27" s="227">
        <f>výdavky!G287</f>
        <v>1000</v>
      </c>
      <c r="K27" s="227">
        <f>výdavky!I287</f>
        <v>2800</v>
      </c>
      <c r="L27" s="227">
        <f>výdavky!J287</f>
        <v>2800</v>
      </c>
      <c r="M27" s="227">
        <f>výdavky!K287</f>
        <v>1000</v>
      </c>
      <c r="N27" s="227">
        <f>výdavky!L287</f>
        <v>1000</v>
      </c>
    </row>
    <row r="28" spans="1:14" x14ac:dyDescent="0.2">
      <c r="A28" s="183">
        <v>22</v>
      </c>
      <c r="B28" s="326"/>
      <c r="C28" s="265" t="s">
        <v>203</v>
      </c>
      <c r="D28" s="252">
        <v>3</v>
      </c>
      <c r="E28" s="253" t="s">
        <v>279</v>
      </c>
      <c r="F28" s="254"/>
      <c r="G28" s="255"/>
      <c r="H28" s="1033">
        <f>výdavky!E288</f>
        <v>0</v>
      </c>
      <c r="I28" s="361">
        <f>výdavky!F288</f>
        <v>0</v>
      </c>
      <c r="J28" s="227">
        <f>výdavky!G288</f>
        <v>500</v>
      </c>
      <c r="K28" s="227">
        <f>výdavky!I288</f>
        <v>500</v>
      </c>
      <c r="L28" s="227">
        <f>výdavky!J288</f>
        <v>500</v>
      </c>
      <c r="M28" s="227">
        <f>výdavky!K288</f>
        <v>500</v>
      </c>
      <c r="N28" s="227">
        <f>výdavky!L288</f>
        <v>500</v>
      </c>
    </row>
    <row r="29" spans="1:14" x14ac:dyDescent="0.2">
      <c r="A29" s="183">
        <v>23</v>
      </c>
      <c r="B29" s="326"/>
      <c r="C29" s="265" t="s">
        <v>207</v>
      </c>
      <c r="D29" s="252">
        <v>4</v>
      </c>
      <c r="E29" s="253" t="s">
        <v>208</v>
      </c>
      <c r="F29" s="254"/>
      <c r="G29" s="255"/>
      <c r="H29" s="1033">
        <f>výdavky!E289</f>
        <v>0</v>
      </c>
      <c r="I29" s="361">
        <f>výdavky!F289</f>
        <v>697</v>
      </c>
      <c r="J29" s="227">
        <f>výdavky!G289</f>
        <v>0</v>
      </c>
      <c r="K29" s="227">
        <f>výdavky!I289</f>
        <v>624</v>
      </c>
      <c r="L29" s="227">
        <f>výdavky!J289</f>
        <v>2000</v>
      </c>
      <c r="M29" s="227">
        <f>výdavky!K289</f>
        <v>2000</v>
      </c>
      <c r="N29" s="227">
        <f>výdavky!L289</f>
        <v>2000</v>
      </c>
    </row>
    <row r="30" spans="1:14" x14ac:dyDescent="0.2">
      <c r="A30" s="183">
        <v>24</v>
      </c>
      <c r="B30" s="326"/>
      <c r="C30" s="265"/>
      <c r="D30" s="3725" t="s">
        <v>184</v>
      </c>
      <c r="E30" s="3725"/>
      <c r="F30" s="840"/>
      <c r="G30" s="837"/>
      <c r="H30" s="1035">
        <f>H31</f>
        <v>0</v>
      </c>
      <c r="I30" s="841">
        <f>SUM(I31)</f>
        <v>0</v>
      </c>
      <c r="J30" s="838">
        <f>J31</f>
        <v>0</v>
      </c>
      <c r="K30" s="838">
        <f>SUM(K31)</f>
        <v>0</v>
      </c>
      <c r="L30" s="838">
        <f>SUM(L31)</f>
        <v>30000</v>
      </c>
      <c r="M30" s="838">
        <f>SUM(M31)</f>
        <v>0</v>
      </c>
      <c r="N30" s="838">
        <f>SUM(N31)</f>
        <v>0</v>
      </c>
    </row>
    <row r="31" spans="1:14" x14ac:dyDescent="0.2">
      <c r="A31" s="183">
        <v>25</v>
      </c>
      <c r="B31" s="326"/>
      <c r="C31" s="395" t="s">
        <v>332</v>
      </c>
      <c r="D31" s="3724" t="s">
        <v>331</v>
      </c>
      <c r="E31" s="3724"/>
      <c r="F31" s="329"/>
      <c r="G31" s="246"/>
      <c r="H31" s="693">
        <f>SUM(H32:H34)</f>
        <v>0</v>
      </c>
      <c r="I31" s="397">
        <f>SUM(I32,I33,I34)</f>
        <v>0</v>
      </c>
      <c r="J31" s="396">
        <f>J32</f>
        <v>0</v>
      </c>
      <c r="K31" s="396">
        <f>SUM(K32,K33,K34)</f>
        <v>0</v>
      </c>
      <c r="L31" s="396">
        <f>SUM(L32,L33,L34)</f>
        <v>30000</v>
      </c>
      <c r="M31" s="396">
        <f>SUM(M32,M33,M34)</f>
        <v>0</v>
      </c>
      <c r="N31" s="396">
        <f>SUM(N32,N33,N34)</f>
        <v>0</v>
      </c>
    </row>
    <row r="32" spans="1:14" x14ac:dyDescent="0.2">
      <c r="A32" s="183">
        <v>26</v>
      </c>
      <c r="B32" s="326"/>
      <c r="C32" s="265" t="s">
        <v>292</v>
      </c>
      <c r="D32" s="252">
        <v>5</v>
      </c>
      <c r="E32" s="253" t="s">
        <v>333</v>
      </c>
      <c r="F32" s="225"/>
      <c r="G32" s="398"/>
      <c r="H32" s="1033">
        <v>0</v>
      </c>
      <c r="I32" s="361">
        <v>0</v>
      </c>
      <c r="J32" s="227"/>
      <c r="K32" s="227">
        <v>0</v>
      </c>
      <c r="L32" s="227">
        <f>výdavky!J717</f>
        <v>30000</v>
      </c>
      <c r="M32" s="227">
        <v>0</v>
      </c>
      <c r="N32" s="227">
        <v>0</v>
      </c>
    </row>
    <row r="33" spans="1:14" x14ac:dyDescent="0.2">
      <c r="A33" s="183">
        <v>27</v>
      </c>
      <c r="B33" s="326"/>
      <c r="C33" s="265"/>
      <c r="D33" s="252"/>
      <c r="E33" s="253"/>
      <c r="F33" s="254"/>
      <c r="G33" s="255"/>
      <c r="H33" s="1033"/>
      <c r="I33" s="361"/>
      <c r="J33" s="227"/>
      <c r="K33" s="227"/>
      <c r="L33" s="227"/>
      <c r="M33" s="227"/>
      <c r="N33" s="227"/>
    </row>
    <row r="34" spans="1:14" s="242" customFormat="1" ht="13.5" thickBot="1" x14ac:dyDescent="0.25">
      <c r="A34" s="296">
        <v>28</v>
      </c>
      <c r="B34" s="415"/>
      <c r="C34" s="333"/>
      <c r="D34" s="299"/>
      <c r="E34" s="416"/>
      <c r="F34" s="336"/>
      <c r="G34" s="388">
        <v>78.099999999999994</v>
      </c>
      <c r="H34" s="907"/>
      <c r="I34" s="389"/>
      <c r="J34" s="339"/>
      <c r="K34" s="339"/>
      <c r="L34" s="339"/>
      <c r="M34" s="339"/>
      <c r="N34" s="339"/>
    </row>
  </sheetData>
  <mergeCells count="4">
    <mergeCell ref="G3:N3"/>
    <mergeCell ref="D4:F6"/>
    <mergeCell ref="D30:E30"/>
    <mergeCell ref="D31:E31"/>
  </mergeCells>
  <phoneticPr fontId="44" type="noConversion"/>
  <pageMargins left="0.25" right="0.25" top="0.75" bottom="0.75" header="0.3" footer="0.3"/>
  <pageSetup paperSize="9" scale="87" firstPageNumber="0" fitToHeight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activeCell="A21" sqref="A21"/>
    </sheetView>
  </sheetViews>
  <sheetFormatPr defaultRowHeight="12.75" x14ac:dyDescent="0.2"/>
  <cols>
    <col min="1" max="1" width="3.5703125" style="147" customWidth="1"/>
    <col min="2" max="2" width="4.140625" style="1" customWidth="1"/>
    <col min="3" max="3" width="7.5703125" customWidth="1"/>
    <col min="4" max="4" width="3.42578125" customWidth="1"/>
    <col min="5" max="5" width="31.42578125" customWidth="1"/>
    <col min="6" max="6" width="9.85546875" customWidth="1"/>
    <col min="7" max="7" width="0" hidden="1" customWidth="1"/>
    <col min="9" max="14" width="8.28515625" customWidth="1"/>
  </cols>
  <sheetData>
    <row r="1" spans="1:14" ht="15.75" x14ac:dyDescent="0.25">
      <c r="B1" s="151" t="s">
        <v>334</v>
      </c>
      <c r="E1" s="151" t="s">
        <v>335</v>
      </c>
      <c r="F1" s="149"/>
      <c r="G1" s="304" t="e">
        <f>G2-G7</f>
        <v>#REF!</v>
      </c>
      <c r="H1" s="304"/>
      <c r="I1" s="304"/>
      <c r="J1" s="304"/>
      <c r="K1" s="304"/>
      <c r="L1" s="305">
        <f>L2-L7</f>
        <v>0</v>
      </c>
      <c r="M1" s="305">
        <f>M2-M7</f>
        <v>0</v>
      </c>
      <c r="N1" s="305">
        <f>N2-N7</f>
        <v>0</v>
      </c>
    </row>
    <row r="2" spans="1:14" ht="15.75" x14ac:dyDescent="0.25">
      <c r="B2" s="151"/>
      <c r="G2" s="306" t="e">
        <f>SUM(G8:G10)</f>
        <v>#REF!</v>
      </c>
      <c r="H2" s="306"/>
      <c r="I2" s="306"/>
      <c r="J2" s="306"/>
      <c r="K2" s="306"/>
      <c r="L2" s="159">
        <f>SUM(L8:L10)</f>
        <v>50410</v>
      </c>
      <c r="M2" s="159">
        <f>SUM(M8:M10)</f>
        <v>40200</v>
      </c>
      <c r="N2" s="159">
        <f>SUM(N8:N10)</f>
        <v>40600</v>
      </c>
    </row>
    <row r="3" spans="1:14" ht="15.75" x14ac:dyDescent="0.25">
      <c r="A3" s="160"/>
      <c r="B3" s="161"/>
      <c r="C3" s="162"/>
      <c r="D3" s="162"/>
      <c r="E3" s="163"/>
      <c r="F3" s="164"/>
      <c r="G3" s="3713" t="s">
        <v>169</v>
      </c>
      <c r="H3" s="3713"/>
      <c r="I3" s="3713"/>
      <c r="J3" s="3713"/>
      <c r="K3" s="3713"/>
      <c r="L3" s="3713"/>
      <c r="M3" s="3713"/>
      <c r="N3" s="3713"/>
    </row>
    <row r="4" spans="1:14" ht="11.25" customHeight="1" x14ac:dyDescent="0.2">
      <c r="A4" s="165"/>
      <c r="B4" s="166" t="s">
        <v>170</v>
      </c>
      <c r="C4" s="167" t="s">
        <v>171</v>
      </c>
      <c r="D4" s="3716" t="s">
        <v>172</v>
      </c>
      <c r="E4" s="3716"/>
      <c r="F4" s="3716"/>
      <c r="G4" s="168"/>
      <c r="H4" s="890">
        <v>2019</v>
      </c>
      <c r="I4" s="169">
        <v>2020</v>
      </c>
      <c r="J4" s="169" t="s">
        <v>995</v>
      </c>
      <c r="K4" s="169" t="s">
        <v>992</v>
      </c>
      <c r="L4" s="169">
        <v>2022</v>
      </c>
      <c r="M4" s="169">
        <v>2023</v>
      </c>
      <c r="N4" s="169">
        <v>2024</v>
      </c>
    </row>
    <row r="5" spans="1:14" ht="15" customHeight="1" x14ac:dyDescent="0.2">
      <c r="A5" s="165"/>
      <c r="B5" s="166" t="s">
        <v>173</v>
      </c>
      <c r="C5" s="167" t="s">
        <v>174</v>
      </c>
      <c r="D5" s="3716"/>
      <c r="E5" s="3716"/>
      <c r="F5" s="3716"/>
      <c r="G5" s="170" t="s">
        <v>175</v>
      </c>
      <c r="H5" s="307" t="s">
        <v>176</v>
      </c>
      <c r="I5" s="171" t="s">
        <v>177</v>
      </c>
      <c r="J5" s="171" t="s">
        <v>176</v>
      </c>
      <c r="K5" s="171" t="s">
        <v>177</v>
      </c>
      <c r="L5" s="171" t="s">
        <v>176</v>
      </c>
      <c r="M5" s="171" t="s">
        <v>177</v>
      </c>
      <c r="N5" s="171" t="s">
        <v>177</v>
      </c>
    </row>
    <row r="6" spans="1:14" x14ac:dyDescent="0.2">
      <c r="A6" s="308"/>
      <c r="B6" s="309" t="s">
        <v>178</v>
      </c>
      <c r="C6" s="310" t="s">
        <v>179</v>
      </c>
      <c r="D6" s="3716"/>
      <c r="E6" s="3716"/>
      <c r="F6" s="3716"/>
      <c r="G6" s="311">
        <v>1</v>
      </c>
      <c r="H6" s="311">
        <v>-3</v>
      </c>
      <c r="I6" s="312">
        <v>-2</v>
      </c>
      <c r="J6" s="312">
        <v>-1</v>
      </c>
      <c r="K6" s="312">
        <v>-1</v>
      </c>
      <c r="L6" s="312">
        <v>0</v>
      </c>
      <c r="M6" s="312">
        <v>1</v>
      </c>
      <c r="N6" s="312">
        <v>2</v>
      </c>
    </row>
    <row r="7" spans="1:14" ht="15" x14ac:dyDescent="0.25">
      <c r="A7" s="183">
        <v>1</v>
      </c>
      <c r="B7" s="313" t="s">
        <v>334</v>
      </c>
      <c r="C7" s="314"/>
      <c r="D7" s="315"/>
      <c r="E7" s="316" t="s">
        <v>335</v>
      </c>
      <c r="F7" s="317"/>
      <c r="G7" s="318" t="e">
        <f>G11+#REF!</f>
        <v>#REF!</v>
      </c>
      <c r="H7" s="1027">
        <f>H8+H9+H10</f>
        <v>60786</v>
      </c>
      <c r="I7" s="182">
        <f>SUM(I8:I10)</f>
        <v>39387</v>
      </c>
      <c r="J7" s="182">
        <f>J8+J9+J10</f>
        <v>838660</v>
      </c>
      <c r="K7" s="182">
        <f>SUM(K8:K10)</f>
        <v>906487.28</v>
      </c>
      <c r="L7" s="319">
        <f>SUM(L8:L10)</f>
        <v>50410</v>
      </c>
      <c r="M7" s="182">
        <f>SUM(M8:M10)</f>
        <v>40200</v>
      </c>
      <c r="N7" s="182">
        <f>SUM(N8:N10)</f>
        <v>40600</v>
      </c>
    </row>
    <row r="8" spans="1:14" x14ac:dyDescent="0.2">
      <c r="A8" s="183">
        <f t="shared" ref="A8:A14" si="0">A7+1</f>
        <v>2</v>
      </c>
      <c r="B8" s="320" t="s">
        <v>181</v>
      </c>
      <c r="C8" s="827" t="s">
        <v>182</v>
      </c>
      <c r="D8" s="828"/>
      <c r="E8" s="829"/>
      <c r="F8" s="830"/>
      <c r="G8" s="831" t="e">
        <f>G12+#REF!</f>
        <v>#REF!</v>
      </c>
      <c r="H8" s="945">
        <f>H12</f>
        <v>41562</v>
      </c>
      <c r="I8" s="832">
        <f>SUM(I12)</f>
        <v>39387</v>
      </c>
      <c r="J8" s="832">
        <f>J12</f>
        <v>38660</v>
      </c>
      <c r="K8" s="832">
        <f>SUM(K12)</f>
        <v>51557</v>
      </c>
      <c r="L8" s="944">
        <f>SUM(L12)</f>
        <v>50410</v>
      </c>
      <c r="M8" s="832">
        <f>SUM(M12)</f>
        <v>40200</v>
      </c>
      <c r="N8" s="832">
        <f>SUM(N12)</f>
        <v>40600</v>
      </c>
    </row>
    <row r="9" spans="1:14" x14ac:dyDescent="0.2">
      <c r="A9" s="183">
        <f t="shared" si="0"/>
        <v>3</v>
      </c>
      <c r="B9" s="320" t="s">
        <v>183</v>
      </c>
      <c r="C9" s="936" t="s">
        <v>184</v>
      </c>
      <c r="D9" s="937"/>
      <c r="E9" s="938"/>
      <c r="F9" s="939"/>
      <c r="G9" s="940" t="e">
        <f>#REF!</f>
        <v>#REF!</v>
      </c>
      <c r="H9" s="971">
        <f t="shared" ref="H9:N9" si="1">H20</f>
        <v>19224</v>
      </c>
      <c r="I9" s="942">
        <f t="shared" si="1"/>
        <v>0</v>
      </c>
      <c r="J9" s="942">
        <f t="shared" si="1"/>
        <v>800000</v>
      </c>
      <c r="K9" s="942">
        <f t="shared" si="1"/>
        <v>854930.28</v>
      </c>
      <c r="L9" s="942">
        <f t="shared" si="1"/>
        <v>0</v>
      </c>
      <c r="M9" s="942">
        <f t="shared" si="1"/>
        <v>0</v>
      </c>
      <c r="N9" s="942">
        <f t="shared" si="1"/>
        <v>0</v>
      </c>
    </row>
    <row r="10" spans="1:14" x14ac:dyDescent="0.2">
      <c r="A10" s="183">
        <f t="shared" si="0"/>
        <v>4</v>
      </c>
      <c r="B10" s="320"/>
      <c r="C10" s="973" t="s">
        <v>185</v>
      </c>
      <c r="D10" s="974"/>
      <c r="E10" s="975"/>
      <c r="F10" s="862"/>
      <c r="G10" s="986">
        <v>0</v>
      </c>
      <c r="H10" s="1028">
        <v>0</v>
      </c>
      <c r="I10" s="981">
        <v>0</v>
      </c>
      <c r="J10" s="981">
        <v>0</v>
      </c>
      <c r="K10" s="981">
        <v>0</v>
      </c>
      <c r="L10" s="982">
        <v>0</v>
      </c>
      <c r="M10" s="981">
        <v>0</v>
      </c>
      <c r="N10" s="981">
        <v>0</v>
      </c>
    </row>
    <row r="11" spans="1:14" x14ac:dyDescent="0.2">
      <c r="A11" s="183">
        <f t="shared" si="0"/>
        <v>5</v>
      </c>
      <c r="B11" s="417">
        <v>1</v>
      </c>
      <c r="C11" s="418" t="s">
        <v>336</v>
      </c>
      <c r="D11" s="419"/>
      <c r="E11" s="419"/>
      <c r="F11" s="420"/>
      <c r="G11" s="421" t="e">
        <f>SUM(G13)+#REF!</f>
        <v>#REF!</v>
      </c>
      <c r="H11" s="1029">
        <f t="shared" ref="H11:N11" si="2">H12+H20</f>
        <v>60786</v>
      </c>
      <c r="I11" s="193">
        <f t="shared" si="2"/>
        <v>39387</v>
      </c>
      <c r="J11" s="193">
        <f t="shared" si="2"/>
        <v>838660</v>
      </c>
      <c r="K11" s="193">
        <f t="shared" si="2"/>
        <v>906487.28</v>
      </c>
      <c r="L11" s="193">
        <f t="shared" si="2"/>
        <v>50410</v>
      </c>
      <c r="M11" s="193">
        <f t="shared" si="2"/>
        <v>40200</v>
      </c>
      <c r="N11" s="193">
        <f t="shared" si="2"/>
        <v>40600</v>
      </c>
    </row>
    <row r="12" spans="1:14" s="242" customFormat="1" x14ac:dyDescent="0.2">
      <c r="A12" s="183">
        <f t="shared" si="0"/>
        <v>6</v>
      </c>
      <c r="B12" s="324"/>
      <c r="C12" s="204"/>
      <c r="D12" s="186" t="s">
        <v>182</v>
      </c>
      <c r="E12" s="205"/>
      <c r="F12" s="206"/>
      <c r="G12" s="207" t="e">
        <f>G13</f>
        <v>#REF!</v>
      </c>
      <c r="H12" s="470">
        <f>H13</f>
        <v>41562</v>
      </c>
      <c r="I12" s="208">
        <f t="shared" ref="I12:N12" si="3">I13</f>
        <v>39387</v>
      </c>
      <c r="J12" s="208">
        <f>J13</f>
        <v>38660</v>
      </c>
      <c r="K12" s="208">
        <f t="shared" si="3"/>
        <v>51557</v>
      </c>
      <c r="L12" s="208">
        <f t="shared" si="3"/>
        <v>50410</v>
      </c>
      <c r="M12" s="208">
        <f t="shared" si="3"/>
        <v>40200</v>
      </c>
      <c r="N12" s="208">
        <f t="shared" si="3"/>
        <v>40600</v>
      </c>
    </row>
    <row r="13" spans="1:14" x14ac:dyDescent="0.2">
      <c r="A13" s="183">
        <f t="shared" si="0"/>
        <v>7</v>
      </c>
      <c r="B13" s="326"/>
      <c r="C13" s="327" t="s">
        <v>337</v>
      </c>
      <c r="D13" s="244" t="s">
        <v>338</v>
      </c>
      <c r="E13" s="328"/>
      <c r="F13" s="329"/>
      <c r="G13" s="246" t="e">
        <f>SUM(#REF!)</f>
        <v>#REF!</v>
      </c>
      <c r="H13" s="330">
        <f>SUM(H14:H19)</f>
        <v>41562</v>
      </c>
      <c r="I13" s="215">
        <f>SUM(I14,I15,I16,I17,I18,I19)</f>
        <v>39387</v>
      </c>
      <c r="J13" s="215">
        <f>SUM(J14:J19)</f>
        <v>38660</v>
      </c>
      <c r="K13" s="215">
        <f>SUM(K14,K15,K16,K17,K18,K19)</f>
        <v>51557</v>
      </c>
      <c r="L13" s="215">
        <f>SUM(L14,L15,L16,L17,L18,L19)</f>
        <v>50410</v>
      </c>
      <c r="M13" s="215">
        <f>SUM(M14,M15,M16,M17,M18,M19)</f>
        <v>40200</v>
      </c>
      <c r="N13" s="215">
        <f>SUM(N14,N15,N16,N17,N18,N19)</f>
        <v>40600</v>
      </c>
    </row>
    <row r="14" spans="1:14" x14ac:dyDescent="0.2">
      <c r="A14" s="183">
        <f t="shared" si="0"/>
        <v>8</v>
      </c>
      <c r="B14" s="326"/>
      <c r="C14" s="265" t="s">
        <v>191</v>
      </c>
      <c r="D14" s="266" t="s">
        <v>216</v>
      </c>
      <c r="E14" s="224" t="s">
        <v>192</v>
      </c>
      <c r="F14" s="254"/>
      <c r="G14" s="255"/>
      <c r="H14" s="1030">
        <f>výdavky!E298</f>
        <v>12717</v>
      </c>
      <c r="I14" s="227">
        <f>výdavky!F298</f>
        <v>12195</v>
      </c>
      <c r="J14" s="227">
        <f>výdavky!G298</f>
        <v>13500</v>
      </c>
      <c r="K14" s="227">
        <f>výdavky!I298</f>
        <v>11500</v>
      </c>
      <c r="L14" s="227">
        <f>výdavky!J298</f>
        <v>14400</v>
      </c>
      <c r="M14" s="227">
        <f>výdavky!K298</f>
        <v>14600</v>
      </c>
      <c r="N14" s="227">
        <f>výdavky!L298</f>
        <v>14800</v>
      </c>
    </row>
    <row r="15" spans="1:14" x14ac:dyDescent="0.2">
      <c r="A15" s="183">
        <v>9</v>
      </c>
      <c r="B15" s="326"/>
      <c r="C15" s="265" t="s">
        <v>193</v>
      </c>
      <c r="D15" s="266" t="s">
        <v>218</v>
      </c>
      <c r="E15" s="224" t="s">
        <v>194</v>
      </c>
      <c r="F15" s="254"/>
      <c r="G15" s="255"/>
      <c r="H15" s="1030">
        <f>výdavky!E300</f>
        <v>4006</v>
      </c>
      <c r="I15" s="227">
        <f>výdavky!F300</f>
        <v>4003</v>
      </c>
      <c r="J15" s="227">
        <f>výdavky!G300</f>
        <v>4860</v>
      </c>
      <c r="K15" s="227">
        <f>výdavky!I300</f>
        <v>4100</v>
      </c>
      <c r="L15" s="227">
        <f>výdavky!J300</f>
        <v>5100</v>
      </c>
      <c r="M15" s="227">
        <f>výdavky!K300</f>
        <v>5300</v>
      </c>
      <c r="N15" s="227">
        <f>výdavky!L300</f>
        <v>5500</v>
      </c>
    </row>
    <row r="16" spans="1:14" x14ac:dyDescent="0.2">
      <c r="A16" s="183">
        <v>10</v>
      </c>
      <c r="B16" s="326"/>
      <c r="C16" s="265" t="s">
        <v>197</v>
      </c>
      <c r="D16" s="266" t="s">
        <v>229</v>
      </c>
      <c r="E16" s="224" t="s">
        <v>198</v>
      </c>
      <c r="F16" s="254"/>
      <c r="G16" s="255"/>
      <c r="H16" s="1030">
        <f>výdavky!E301</f>
        <v>11922</v>
      </c>
      <c r="I16" s="227">
        <f>výdavky!F301</f>
        <v>18296</v>
      </c>
      <c r="J16" s="227">
        <f>výdavky!G301</f>
        <v>14700</v>
      </c>
      <c r="K16" s="227">
        <f>výdavky!I301</f>
        <v>14700</v>
      </c>
      <c r="L16" s="227">
        <f>výdavky!J301</f>
        <v>14700</v>
      </c>
      <c r="M16" s="227">
        <f>výdavky!K301</f>
        <v>14700</v>
      </c>
      <c r="N16" s="227">
        <f>výdavky!L301</f>
        <v>14700</v>
      </c>
    </row>
    <row r="17" spans="1:14" x14ac:dyDescent="0.2">
      <c r="A17" s="183">
        <v>11</v>
      </c>
      <c r="B17" s="326"/>
      <c r="C17" s="265" t="s">
        <v>199</v>
      </c>
      <c r="D17" s="266" t="s">
        <v>231</v>
      </c>
      <c r="E17" s="224" t="s">
        <v>200</v>
      </c>
      <c r="F17" s="254"/>
      <c r="G17" s="255"/>
      <c r="H17" s="1030">
        <f>výdavky!E302</f>
        <v>1016</v>
      </c>
      <c r="I17" s="227">
        <f>výdavky!F302</f>
        <v>1907</v>
      </c>
      <c r="J17" s="227">
        <f>výdavky!G302</f>
        <v>100</v>
      </c>
      <c r="K17" s="227">
        <f>výdavky!I302</f>
        <v>4010</v>
      </c>
      <c r="L17" s="227">
        <f>výdavky!J302+výdavky!J304</f>
        <v>9010</v>
      </c>
      <c r="M17" s="227">
        <f>výdavky!K302</f>
        <v>100</v>
      </c>
      <c r="N17" s="227">
        <f>výdavky!L302</f>
        <v>100</v>
      </c>
    </row>
    <row r="18" spans="1:14" x14ac:dyDescent="0.2">
      <c r="A18" s="183">
        <v>12</v>
      </c>
      <c r="B18" s="326"/>
      <c r="C18" s="265" t="s">
        <v>203</v>
      </c>
      <c r="D18" s="266" t="s">
        <v>233</v>
      </c>
      <c r="E18" s="224" t="s">
        <v>279</v>
      </c>
      <c r="F18" s="254"/>
      <c r="G18" s="255"/>
      <c r="H18" s="1030">
        <f>výdavky!E305</f>
        <v>1080</v>
      </c>
      <c r="I18" s="227">
        <f>výdavky!F305</f>
        <v>236</v>
      </c>
      <c r="J18" s="227">
        <f>výdavky!G305</f>
        <v>500</v>
      </c>
      <c r="K18" s="227">
        <f>výdavky!I305</f>
        <v>2200</v>
      </c>
      <c r="L18" s="227">
        <f>výdavky!J305</f>
        <v>2200</v>
      </c>
      <c r="M18" s="227">
        <f>výdavky!K305</f>
        <v>500</v>
      </c>
      <c r="N18" s="227">
        <f>výdavky!L305</f>
        <v>500</v>
      </c>
    </row>
    <row r="19" spans="1:14" x14ac:dyDescent="0.2">
      <c r="A19" s="183">
        <f>A18+1</f>
        <v>13</v>
      </c>
      <c r="B19" s="326"/>
      <c r="C19" s="265" t="s">
        <v>207</v>
      </c>
      <c r="D19" s="266" t="s">
        <v>231</v>
      </c>
      <c r="E19" s="224" t="s">
        <v>208</v>
      </c>
      <c r="F19" s="254"/>
      <c r="G19" s="255"/>
      <c r="H19" s="1030">
        <f>výdavky!E306+výdavky!E307</f>
        <v>10821</v>
      </c>
      <c r="I19" s="227">
        <f>výdavky!F306</f>
        <v>2750</v>
      </c>
      <c r="J19" s="227">
        <f>výdavky!G306</f>
        <v>5000</v>
      </c>
      <c r="K19" s="227">
        <f>výdavky!I306+výdavky!I307</f>
        <v>15047</v>
      </c>
      <c r="L19" s="227">
        <f>výdavky!J306</f>
        <v>5000</v>
      </c>
      <c r="M19" s="227">
        <f>výdavky!K306</f>
        <v>5000</v>
      </c>
      <c r="N19" s="227">
        <f>výdavky!L306</f>
        <v>5000</v>
      </c>
    </row>
    <row r="20" spans="1:14" x14ac:dyDescent="0.2">
      <c r="A20" s="183">
        <v>14</v>
      </c>
      <c r="B20" s="347"/>
      <c r="C20" s="217"/>
      <c r="D20" s="749" t="s">
        <v>184</v>
      </c>
      <c r="E20" s="753"/>
      <c r="F20" s="758"/>
      <c r="G20" s="759">
        <f>G22</f>
        <v>0</v>
      </c>
      <c r="H20" s="769">
        <f t="shared" ref="H20:N20" si="4">H21</f>
        <v>19224</v>
      </c>
      <c r="I20" s="760">
        <f t="shared" si="4"/>
        <v>0</v>
      </c>
      <c r="J20" s="760">
        <f t="shared" si="4"/>
        <v>800000</v>
      </c>
      <c r="K20" s="760">
        <f t="shared" si="4"/>
        <v>854930.28</v>
      </c>
      <c r="L20" s="760">
        <f t="shared" si="4"/>
        <v>0</v>
      </c>
      <c r="M20" s="760">
        <f t="shared" si="4"/>
        <v>0</v>
      </c>
      <c r="N20" s="760">
        <f t="shared" si="4"/>
        <v>0</v>
      </c>
    </row>
    <row r="21" spans="1:14" x14ac:dyDescent="0.2">
      <c r="A21" s="183">
        <f>A20+1</f>
        <v>15</v>
      </c>
      <c r="B21" s="347"/>
      <c r="C21" s="287" t="s">
        <v>339</v>
      </c>
      <c r="D21" s="211" t="s">
        <v>338</v>
      </c>
      <c r="E21" s="212"/>
      <c r="F21" s="213"/>
      <c r="G21" s="214">
        <f>SUM(G22:G23)</f>
        <v>0</v>
      </c>
      <c r="H21" s="1031">
        <f>H22+H23</f>
        <v>19224</v>
      </c>
      <c r="I21" s="215">
        <f>SUM(I22,I23)</f>
        <v>0</v>
      </c>
      <c r="J21" s="215">
        <f>J22+J23</f>
        <v>800000</v>
      </c>
      <c r="K21" s="215">
        <f>SUM(K22,K23)</f>
        <v>854930.28</v>
      </c>
      <c r="L21" s="215">
        <f>SUM(L22,L23)</f>
        <v>0</v>
      </c>
      <c r="M21" s="215">
        <f>M22+SUM(M22,M23)</f>
        <v>0</v>
      </c>
      <c r="N21" s="215">
        <f>N22+SUM(N22,N23)</f>
        <v>0</v>
      </c>
    </row>
    <row r="22" spans="1:14" x14ac:dyDescent="0.2">
      <c r="A22" s="183">
        <f>A21+1</f>
        <v>16</v>
      </c>
      <c r="B22" s="326"/>
      <c r="C22" s="265" t="s">
        <v>328</v>
      </c>
      <c r="D22" s="266" t="s">
        <v>233</v>
      </c>
      <c r="E22" s="351" t="s">
        <v>329</v>
      </c>
      <c r="F22" s="234"/>
      <c r="G22" s="235"/>
      <c r="H22" s="475">
        <f>výdavky!E719</f>
        <v>19224</v>
      </c>
      <c r="I22" s="227">
        <f>výdavky!F719</f>
        <v>0</v>
      </c>
      <c r="J22" s="227">
        <v>0</v>
      </c>
      <c r="K22" s="227">
        <f>výdavky!G719</f>
        <v>0</v>
      </c>
      <c r="L22" s="227">
        <f>výdavky!H719</f>
        <v>0</v>
      </c>
      <c r="M22" s="227">
        <v>0</v>
      </c>
      <c r="N22" s="227">
        <v>0</v>
      </c>
    </row>
    <row r="23" spans="1:14" x14ac:dyDescent="0.2">
      <c r="A23" s="296">
        <f>A22+1</f>
        <v>17</v>
      </c>
      <c r="B23" s="332"/>
      <c r="C23" s="333" t="s">
        <v>330</v>
      </c>
      <c r="D23" s="422" t="s">
        <v>237</v>
      </c>
      <c r="E23" s="423" t="s">
        <v>340</v>
      </c>
      <c r="F23" s="424"/>
      <c r="G23" s="425"/>
      <c r="H23" s="1032">
        <f>výdavky!E722</f>
        <v>0</v>
      </c>
      <c r="I23" s="426">
        <f>výdavky!F722</f>
        <v>0</v>
      </c>
      <c r="J23" s="426">
        <f>výdavky!G722+výdavky!G723+výdavky!G724+výdavky!G725</f>
        <v>800000</v>
      </c>
      <c r="K23" s="426">
        <f>výdavky!I722+výdavky!I723+výdavky!I724+výdavky!I725</f>
        <v>854930.28</v>
      </c>
      <c r="L23" s="426">
        <f>výdavky!J722</f>
        <v>0</v>
      </c>
      <c r="M23" s="426">
        <f>výdavky!K723</f>
        <v>0</v>
      </c>
      <c r="N23" s="426">
        <f>výdavky!L723</f>
        <v>0</v>
      </c>
    </row>
  </sheetData>
  <mergeCells count="2">
    <mergeCell ref="G3:N3"/>
    <mergeCell ref="D4:F6"/>
  </mergeCells>
  <phoneticPr fontId="44" type="noConversion"/>
  <pageMargins left="0.25" right="0.25" top="0.75" bottom="0.75" header="0.3" footer="0.3"/>
  <pageSetup paperSize="9" scale="85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14</vt:i4>
      </vt:variant>
      <vt:variant>
        <vt:lpstr>Pomenované rozsahy</vt:lpstr>
      </vt:variant>
      <vt:variant>
        <vt:i4>3</vt:i4>
      </vt:variant>
    </vt:vector>
  </HeadingPairs>
  <TitlesOfParts>
    <vt:vector size="17" baseType="lpstr">
      <vt:lpstr>príjmová časť</vt:lpstr>
      <vt:lpstr>príjmy</vt:lpstr>
      <vt:lpstr>Program 1</vt:lpstr>
      <vt:lpstr>Program 2</vt:lpstr>
      <vt:lpstr>Program 3</vt:lpstr>
      <vt:lpstr>Program 4</vt:lpstr>
      <vt:lpstr>Program 5</vt:lpstr>
      <vt:lpstr>Program 6</vt:lpstr>
      <vt:lpstr>Program 7</vt:lpstr>
      <vt:lpstr>Program 8</vt:lpstr>
      <vt:lpstr>Program 9</vt:lpstr>
      <vt:lpstr>Program 10</vt:lpstr>
      <vt:lpstr>Bilancia</vt:lpstr>
      <vt:lpstr>výdavky</vt:lpstr>
      <vt:lpstr>Excel_BuiltIn_Print_Area_1</vt:lpstr>
      <vt:lpstr>príjmy!Oblasť_tlače</vt:lpstr>
      <vt:lpstr>výdavky!Oblasť_tlače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KOTORA Marián</dc:creator>
  <cp:lastModifiedBy>KOTORA Marián</cp:lastModifiedBy>
  <cp:lastPrinted>2021-12-13T09:23:13Z</cp:lastPrinted>
  <dcterms:created xsi:type="dcterms:W3CDTF">2017-01-04T11:01:38Z</dcterms:created>
  <dcterms:modified xsi:type="dcterms:W3CDTF">2021-12-13T09:29:12Z</dcterms:modified>
</cp:coreProperties>
</file>