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bal" sheetId="1" r:id="rId1"/>
    <sheet name="príjmy" sheetId="2" r:id="rId2"/>
    <sheet name="Program 1" sheetId="3" r:id="rId3"/>
    <sheet name="Program 2" sheetId="4" r:id="rId4"/>
    <sheet name="Program 3" sheetId="5" r:id="rId5"/>
    <sheet name="Program 4" sheetId="6" r:id="rId6"/>
    <sheet name="Program 5" sheetId="7" r:id="rId7"/>
    <sheet name="Program 6" sheetId="8" r:id="rId8"/>
    <sheet name="Program 7" sheetId="9" r:id="rId9"/>
    <sheet name="Program 8" sheetId="10" r:id="rId10"/>
    <sheet name="Program 9" sheetId="11" r:id="rId11"/>
    <sheet name="Program 10" sheetId="12" r:id="rId12"/>
    <sheet name="Bilancia výdavkov" sheetId="13" r:id="rId13"/>
    <sheet name="výdavky" sheetId="14" r:id="rId14"/>
  </sheets>
  <externalReferences>
    <externalReference r:id="rId17"/>
    <externalReference r:id="rId18"/>
  </externalReferences>
  <definedNames>
    <definedName name="_xlnm.Print_Area" localSheetId="13">'výdavky'!$A$1:$AT$577</definedName>
  </definedNames>
  <calcPr fullCalcOnLoad="1"/>
</workbook>
</file>

<file path=xl/sharedStrings.xml><?xml version="1.0" encoding="utf-8"?>
<sst xmlns="http://schemas.openxmlformats.org/spreadsheetml/2006/main" count="2122" uniqueCount="682">
  <si>
    <t>k 31.12.2012</t>
  </si>
  <si>
    <t>Spracovateľ:</t>
  </si>
  <si>
    <t>Návrh na uznesenie:</t>
  </si>
  <si>
    <t>Iveta Somogyiová, účtovníčka obce</t>
  </si>
  <si>
    <t>Obecné zastupiteľstvo v Tekovských Lužanoch</t>
  </si>
  <si>
    <t>Predkladateľ</t>
  </si>
  <si>
    <t>berie na vedomie</t>
  </si>
  <si>
    <t>Ing. Marián Kotora</t>
  </si>
  <si>
    <t>informáciu o plnení  rozpočtu k 31.12.2012</t>
  </si>
  <si>
    <t>starosta obce</t>
  </si>
  <si>
    <t>Príjmy rozpočtu obce Tekovské Lužany</t>
  </si>
  <si>
    <t>Bežné príjmy</t>
  </si>
  <si>
    <t>daňové príjmy</t>
  </si>
  <si>
    <t>rozpočet 2011</t>
  </si>
  <si>
    <t>plnenie I.Q</t>
  </si>
  <si>
    <t>%</t>
  </si>
  <si>
    <t>plnenie I. - II. Q</t>
  </si>
  <si>
    <t>plnenie I. - III. Q</t>
  </si>
  <si>
    <t>plnenie 2011</t>
  </si>
  <si>
    <t>plnenie I. Q</t>
  </si>
  <si>
    <t>1. úprava rozpočtu</t>
  </si>
  <si>
    <t>2012 po 1. úprave</t>
  </si>
  <si>
    <t>plnenie  II.Q</t>
  </si>
  <si>
    <t>plnenie III. Q</t>
  </si>
  <si>
    <t>2012 po 2. úprave</t>
  </si>
  <si>
    <t>2. úprava rozpočtu</t>
  </si>
  <si>
    <t>plnenie 31.12.2012</t>
  </si>
  <si>
    <t>Daňové príjmy - dane z príjmov, dane z majetku</t>
  </si>
  <si>
    <t>003.</t>
  </si>
  <si>
    <t>Výnos dane z príjmov poukázaný samospráve</t>
  </si>
  <si>
    <t>Daň z nehnuteľností</t>
  </si>
  <si>
    <t>001.</t>
  </si>
  <si>
    <t>Daň z pozemkov</t>
  </si>
  <si>
    <t>v tom: Daň z pozemkov-minulé roky</t>
  </si>
  <si>
    <t>002.</t>
  </si>
  <si>
    <t>Daň zo stavieb</t>
  </si>
  <si>
    <t>v tom: Daň zo stavieb-minulé roky</t>
  </si>
  <si>
    <t>Daň z bytov</t>
  </si>
  <si>
    <t>Daňové príjmy - dane za špecifické služby</t>
  </si>
  <si>
    <t>Daň za psa</t>
  </si>
  <si>
    <t>v tom: Daň za psa-minulé roky</t>
  </si>
  <si>
    <t>Daň za zábavné hracie prístroje</t>
  </si>
  <si>
    <t>012.</t>
  </si>
  <si>
    <t>Daň za užívanie verejného priestranstva</t>
  </si>
  <si>
    <t>013.</t>
  </si>
  <si>
    <t xml:space="preserve">Daň za komunálny odpad </t>
  </si>
  <si>
    <t>v tom: Daň za komunálny odpad-minulé roky</t>
  </si>
  <si>
    <t>014.</t>
  </si>
  <si>
    <t>Daň za umiestnenie jadrového zar.</t>
  </si>
  <si>
    <t>Daňové príjmy celkom</t>
  </si>
  <si>
    <t>nedaňové príjmy</t>
  </si>
  <si>
    <t>Nedaňové príjmy - z podnikania a z vlastníctva majetku</t>
  </si>
  <si>
    <t>Dividendy</t>
  </si>
  <si>
    <t>Príjmy z prenajatých pozemkov</t>
  </si>
  <si>
    <t>Príjmy z prenajatých budov</t>
  </si>
  <si>
    <t>004.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</si>
  <si>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</si>
  <si>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</si>
  <si>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</si>
  <si>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</si>
  <si>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</si>
  <si>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</si>
  <si>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Predaj výrobkov, tovarov a služieb</t>
  </si>
  <si>
    <t>Náhrada škody T a M</t>
  </si>
  <si>
    <t>Za MŠ, školský klub detí</t>
  </si>
  <si>
    <t>Za stravné /MŠ/</t>
  </si>
  <si>
    <t>Za stravné /OcÚ/</t>
  </si>
  <si>
    <t>Za stravné /ZŠ/</t>
  </si>
  <si>
    <t>005.</t>
  </si>
  <si>
    <t>Príspevky z recyklačného fondu</t>
  </si>
  <si>
    <t>Iné nedaňové príjmy</t>
  </si>
  <si>
    <t>Úroky z úverov a vkladov</t>
  </si>
  <si>
    <t>Úroky z vkladov ZŠ, MŠ</t>
  </si>
  <si>
    <t>006.</t>
  </si>
  <si>
    <t>Z náhrad z poistného plnenie</t>
  </si>
  <si>
    <t>008.</t>
  </si>
  <si>
    <t>Z výťažkov z lotérií</t>
  </si>
  <si>
    <t>019.</t>
  </si>
  <si>
    <t>z refundácie</t>
  </si>
  <si>
    <t>017.</t>
  </si>
  <si>
    <t>Z vratiek</t>
  </si>
  <si>
    <t>Nedaňové príjmy spolu</t>
  </si>
  <si>
    <t>granty a transfery</t>
  </si>
  <si>
    <t>Tuzemské bežné granty a transfery</t>
  </si>
  <si>
    <t>Dotácia na podporu športu - MOS</t>
  </si>
  <si>
    <t>Dotácia na školstvo</t>
  </si>
  <si>
    <t>Zo ŠR MF SR - voľby</t>
  </si>
  <si>
    <t>Dotácia na školstvo-MŠ</t>
  </si>
  <si>
    <t>Dotácia na matričnú činnosť,evid.obyv.</t>
  </si>
  <si>
    <t>Dotácia na podporu zamestnanosti</t>
  </si>
  <si>
    <t>Dotácia pre deti zo soc.znevýh.prostr.</t>
  </si>
  <si>
    <t xml:space="preserve">001. </t>
  </si>
  <si>
    <t>Dotácia na dopravné</t>
  </si>
  <si>
    <t>Dotácia na vzdelávacie poukazy</t>
  </si>
  <si>
    <t>Transfer na osobitného príjemcu-RP</t>
  </si>
  <si>
    <t>Transfer na osobitného príjemcu-Jurík J.</t>
  </si>
  <si>
    <t>Dotácia na stravovanie detí v HN</t>
  </si>
  <si>
    <t>Dotácia na školské potreby</t>
  </si>
  <si>
    <t>Dotácia - ZŠ - M-PC</t>
  </si>
  <si>
    <t>ÚV SR (vzdelávanie MRK)</t>
  </si>
  <si>
    <t>Tuzemské granty a transfery</t>
  </si>
  <si>
    <t>MV SR (vybavenie hasičskej zbrojnice)</t>
  </si>
  <si>
    <t>Granty ZŠ VJM</t>
  </si>
  <si>
    <t>Granty a transfery spolu</t>
  </si>
  <si>
    <t>Bežné príjmy spolu</t>
  </si>
  <si>
    <t>Kapitálové príjmy</t>
  </si>
  <si>
    <t>Príjem z predaja kapitálových aktív</t>
  </si>
  <si>
    <t>Príjem z predaja pozemkov a nehm.aktív</t>
  </si>
  <si>
    <t>plnenie IV.Q</t>
  </si>
  <si>
    <t>MVaRR SR (ZS)</t>
  </si>
  <si>
    <t>MVRR SR (VO)</t>
  </si>
  <si>
    <t>Leader</t>
  </si>
  <si>
    <t>MVaRR SR (centrum obce)</t>
  </si>
  <si>
    <t>MVaRR SR (škola)</t>
  </si>
  <si>
    <t>MV SR (hasičská zbrojnica)</t>
  </si>
  <si>
    <t>Zo ŠR - kamerový systém</t>
  </si>
  <si>
    <t>MŽP (zberný dvor)</t>
  </si>
  <si>
    <t>ÚV SR (komunitné centrum)</t>
  </si>
  <si>
    <t>Kapitálové príjmy spolu</t>
  </si>
  <si>
    <t>Príjmové finančné operácie</t>
  </si>
  <si>
    <t>príjmy z ostatných finančných operácií</t>
  </si>
  <si>
    <t>Zostatok prostriedkov z predch.rokov</t>
  </si>
  <si>
    <t>Prevod z rezervného fondu obce</t>
  </si>
  <si>
    <t>Prevod z ostatných fondov obce</t>
  </si>
  <si>
    <t>Príjmy z ostatných finančných operácií</t>
  </si>
  <si>
    <t>Tuzemské úvery, pôžičky a návratné finančné výpomoci</t>
  </si>
  <si>
    <t>úvery, pôžičky a ostatné finančné výpomoci</t>
  </si>
  <si>
    <t>Bankové úvery dlhodobé</t>
  </si>
  <si>
    <t>Ostatné úvery a návratné finančné výpomoci</t>
  </si>
  <si>
    <t>Vlastné príjmy RO s právnou subjektivitou</t>
  </si>
  <si>
    <t>Základná škola</t>
  </si>
  <si>
    <t>Základná škola s VJM</t>
  </si>
  <si>
    <t>Materská škola</t>
  </si>
  <si>
    <t>SUMARIZÁCIA</t>
  </si>
  <si>
    <t>Rozpočtové príjmy spolu</t>
  </si>
  <si>
    <t>PROGRAM 1</t>
  </si>
  <si>
    <t>PLÁNOVANIE, MANAŽMENT A KONTROLA</t>
  </si>
  <si>
    <t>Rok</t>
  </si>
  <si>
    <t>Rozpočet</t>
  </si>
  <si>
    <t>Plnenie</t>
  </si>
  <si>
    <t>Pod-</t>
  </si>
  <si>
    <t>Funkčná,</t>
  </si>
  <si>
    <t>Názov</t>
  </si>
  <si>
    <t>1. úprava</t>
  </si>
  <si>
    <t>2.úprava</t>
  </si>
  <si>
    <t>prog-</t>
  </si>
  <si>
    <t>ekonomic.</t>
  </si>
  <si>
    <t xml:space="preserve"> rozpočet</t>
  </si>
  <si>
    <t>v €</t>
  </si>
  <si>
    <t>v  €</t>
  </si>
  <si>
    <t>ram</t>
  </si>
  <si>
    <t>klasifik.</t>
  </si>
  <si>
    <t xml:space="preserve">PROGRAM 1:     Manažment, služby občanom </t>
  </si>
  <si>
    <t>v</t>
  </si>
  <si>
    <t>BEŽNÉ VÝDAVKY SPOLU:</t>
  </si>
  <si>
    <t>tom:</t>
  </si>
  <si>
    <t>KAPITÁLOVÉ VÝDAVKY SPOLU:</t>
  </si>
  <si>
    <t>FINANČNÉ OPERÁCIE SPOLU:</t>
  </si>
  <si>
    <t>Verejná správa</t>
  </si>
  <si>
    <t>Aktivita č.1</t>
  </si>
  <si>
    <t>Činnosť obecného úradu</t>
  </si>
  <si>
    <t>01.1.1.6.</t>
  </si>
  <si>
    <t>Obce</t>
  </si>
  <si>
    <t>610</t>
  </si>
  <si>
    <t>Mzdy, platy a ostatné osobné vyrovnania</t>
  </si>
  <si>
    <t>620</t>
  </si>
  <si>
    <t>Poistné a príspevky do poisťovní</t>
  </si>
  <si>
    <t>631</t>
  </si>
  <si>
    <t>Cestovné náhrady</t>
  </si>
  <si>
    <t>632</t>
  </si>
  <si>
    <t>Energie a telekomunikácie</t>
  </si>
  <si>
    <t>633</t>
  </si>
  <si>
    <t>Materiál</t>
  </si>
  <si>
    <t>634</t>
  </si>
  <si>
    <t>Dopravné</t>
  </si>
  <si>
    <t>635</t>
  </si>
  <si>
    <t xml:space="preserve">Rutinná a štandardná údržba </t>
  </si>
  <si>
    <t>636</t>
  </si>
  <si>
    <t>Nájomné za prenájom</t>
  </si>
  <si>
    <t>637</t>
  </si>
  <si>
    <t>Služby</t>
  </si>
  <si>
    <t>711</t>
  </si>
  <si>
    <t>Nákup pozemkov</t>
  </si>
  <si>
    <t>Aktivita č.2</t>
  </si>
  <si>
    <t>Činnosť samosprávnych orgánov obce</t>
  </si>
  <si>
    <t>HK</t>
  </si>
  <si>
    <t>Odmeny - voľby</t>
  </si>
  <si>
    <t>Odmeny poslancom a členom komisií OcZ</t>
  </si>
  <si>
    <t>Členstvo v samosprávnych organizáciách a združeniach</t>
  </si>
  <si>
    <t>642</t>
  </si>
  <si>
    <t>1</t>
  </si>
  <si>
    <t>Členské príspevky do združení</t>
  </si>
  <si>
    <t>2</t>
  </si>
  <si>
    <t>Transfer na SOcÚ</t>
  </si>
  <si>
    <t>Manažment investícií</t>
  </si>
  <si>
    <t>01.1.1.6</t>
  </si>
  <si>
    <t>Transakcie verejného dlhu</t>
  </si>
  <si>
    <t>651</t>
  </si>
  <si>
    <t xml:space="preserve">Splácanie úrokov z úverov </t>
  </si>
  <si>
    <t>01.1.2</t>
  </si>
  <si>
    <t>Finančná a rozpočtová oblasť</t>
  </si>
  <si>
    <t>630</t>
  </si>
  <si>
    <t>Poplatky banke</t>
  </si>
  <si>
    <t>3</t>
  </si>
  <si>
    <t>Špeciálne služby / audit/</t>
  </si>
  <si>
    <t>4</t>
  </si>
  <si>
    <t>Za služby poskytnuté v rámci ROP - regen.sídel</t>
  </si>
  <si>
    <t>5</t>
  </si>
  <si>
    <t>Provízie za poskytnutie úveru</t>
  </si>
  <si>
    <t>FINANČNÉ OPERÁCIE VÝDAVKOVÉ SPOLU:</t>
  </si>
  <si>
    <t>824</t>
  </si>
  <si>
    <t>6</t>
  </si>
  <si>
    <t>Splatenie finančného prenájmu</t>
  </si>
  <si>
    <t>821</t>
  </si>
  <si>
    <t>7</t>
  </si>
  <si>
    <t>Splatenie istiny úveru</t>
  </si>
  <si>
    <t>Služby občanom</t>
  </si>
  <si>
    <t>01.3.3.</t>
  </si>
  <si>
    <t>Iné všeobecné služby</t>
  </si>
  <si>
    <t>Mzdy</t>
  </si>
  <si>
    <t>Poistné</t>
  </si>
  <si>
    <t>Energie, voda, komunikácie</t>
  </si>
  <si>
    <t xml:space="preserve">Materiál </t>
  </si>
  <si>
    <t>Údržba</t>
  </si>
  <si>
    <t>Voľby a referendá</t>
  </si>
  <si>
    <t>01.8.0</t>
  </si>
  <si>
    <t xml:space="preserve">Všeobecné verejné služby inde neklasifikované    </t>
  </si>
  <si>
    <t>Voľby do parlamentu</t>
  </si>
  <si>
    <t>Sčítanie obyvateľov</t>
  </si>
  <si>
    <t>PROGRAM 2:</t>
  </si>
  <si>
    <t>OCHRANA OBYVATEĽSTVA</t>
  </si>
  <si>
    <t>Civilná ochrana</t>
  </si>
  <si>
    <t>02.2.0</t>
  </si>
  <si>
    <t>Odmeny a príspevky</t>
  </si>
  <si>
    <t>PROGRAM 3:</t>
  </si>
  <si>
    <t>BEZPEČNOSŤ, PRÁVO A PORIADOK</t>
  </si>
  <si>
    <t>Verejný poriadok a bezpečnosť</t>
  </si>
  <si>
    <t>03.1.0.</t>
  </si>
  <si>
    <t>Policajné služby</t>
  </si>
  <si>
    <t xml:space="preserve">Cestovné náhrady </t>
  </si>
  <si>
    <t>Materiálne zabezpečenie</t>
  </si>
  <si>
    <t xml:space="preserve">Dopravné </t>
  </si>
  <si>
    <t>Údržba výpočtovej techniky</t>
  </si>
  <si>
    <t>8</t>
  </si>
  <si>
    <t>Služby, školenia</t>
  </si>
  <si>
    <t>9</t>
  </si>
  <si>
    <t>Transfery (členské)</t>
  </si>
  <si>
    <t>Monitorovací kamerový systém</t>
  </si>
  <si>
    <t>713</t>
  </si>
  <si>
    <t>15</t>
  </si>
  <si>
    <t>Kamerový systém + rozšírenie starého kam.systému</t>
  </si>
  <si>
    <t>Ochrana pred požiarmi</t>
  </si>
  <si>
    <t>03.2.0.</t>
  </si>
  <si>
    <t>Požiarna ochrana</t>
  </si>
  <si>
    <t xml:space="preserve">Energie </t>
  </si>
  <si>
    <t>Rutinná a štandardná údržba</t>
  </si>
  <si>
    <t>Služby v súvislosti s požiarnou ochranou</t>
  </si>
  <si>
    <t>Rekonštrukcia hasičskej zbrojnice</t>
  </si>
  <si>
    <t>PROGRAM 4: KOMUNIKÁCIE, VÝSTAVBA A ROZVOJ OBCE</t>
  </si>
  <si>
    <t>PROSTREDIE PRE ŽIVOT</t>
  </si>
  <si>
    <t>PROGRAM 4:    Komunikácie, výstavba a rozvoj obce</t>
  </si>
  <si>
    <t>Menšie obecné služby</t>
  </si>
  <si>
    <t>04.1.2.0</t>
  </si>
  <si>
    <t>Všeobecno - pracovná oblasť</t>
  </si>
  <si>
    <t>Mzdy, platy, ostatné osobné vyrovnania</t>
  </si>
  <si>
    <t>Palivo, mazivo</t>
  </si>
  <si>
    <t>Správa a údržba miestnych komunikácií</t>
  </si>
  <si>
    <t>04.5.1.0</t>
  </si>
  <si>
    <t xml:space="preserve">Cestná doprava </t>
  </si>
  <si>
    <t>700</t>
  </si>
  <si>
    <t>Odvodnenie MK</t>
  </si>
  <si>
    <t xml:space="preserve">Asfaltovanie komunikácií  </t>
  </si>
  <si>
    <t>Rutinná a štandartná údržba</t>
  </si>
  <si>
    <t>Výstavba obce</t>
  </si>
  <si>
    <t>04.4.3.0</t>
  </si>
  <si>
    <t>Geometrické plány, štúdie a usporiadanie majetku</t>
  </si>
  <si>
    <t>Správa a údržba majetku</t>
  </si>
  <si>
    <t>04.1.1.0</t>
  </si>
  <si>
    <t>Všeobecná ekonomická a obchodná činnosť</t>
  </si>
  <si>
    <t>Štandardná úrdržba</t>
  </si>
  <si>
    <t>Odstupné</t>
  </si>
  <si>
    <t>04.1.1-0</t>
  </si>
  <si>
    <t>PROGRAM 5</t>
  </si>
  <si>
    <t>ODPADOVÉ HOSPODÁRSTVO</t>
  </si>
  <si>
    <t>Odvoz a zneškodňovanie odpadu</t>
  </si>
  <si>
    <t>05.1.0.</t>
  </si>
  <si>
    <t>Nakladanie s odpadmi</t>
  </si>
  <si>
    <t>Služby - odvoz a likvidácia odpadu</t>
  </si>
  <si>
    <t>05.1.0</t>
  </si>
  <si>
    <t>Zavedenie separácie biologicky rozložiteľných odpadov</t>
  </si>
  <si>
    <t>Kofinancovanie</t>
  </si>
  <si>
    <t>Nakladanie s odpadovými vodami</t>
  </si>
  <si>
    <t>05.2.0.</t>
  </si>
  <si>
    <t>Služby - servis</t>
  </si>
  <si>
    <t>Výstavba kanalizácie</t>
  </si>
  <si>
    <t>PROGRAM 6</t>
  </si>
  <si>
    <t>OBČIANSKA VYBAVENOSŤ</t>
  </si>
  <si>
    <t>Rozvoj obce</t>
  </si>
  <si>
    <t>06.2.0.</t>
  </si>
  <si>
    <t>Služby - ŠR</t>
  </si>
  <si>
    <t>716</t>
  </si>
  <si>
    <t>Projektová dokumentácia</t>
  </si>
  <si>
    <t>717</t>
  </si>
  <si>
    <t>Centrum obce</t>
  </si>
  <si>
    <t>Verejné osvetlenie</t>
  </si>
  <si>
    <t>06.4.0.</t>
  </si>
  <si>
    <t>Rekonštrukcia verejného osvetlenia</t>
  </si>
  <si>
    <t>PROGRAM 7</t>
  </si>
  <si>
    <t>ZDRAVOTNÁ STAROSTLIVOSŤ</t>
  </si>
  <si>
    <t>Zdravotné stredisko</t>
  </si>
  <si>
    <t>07.6.0</t>
  </si>
  <si>
    <t>Zdravotníctvo inde neklasifikované</t>
  </si>
  <si>
    <t>07.6.0.</t>
  </si>
  <si>
    <t>Rekonštrukcia zdravotného strediska</t>
  </si>
  <si>
    <t>PROGRAM 8</t>
  </si>
  <si>
    <t>ŠPORT A KULTÚRA</t>
  </si>
  <si>
    <t>Športový areál</t>
  </si>
  <si>
    <t>08.1.0.0.</t>
  </si>
  <si>
    <t>Rekreačné a športové služby</t>
  </si>
  <si>
    <t>Energie</t>
  </si>
  <si>
    <t xml:space="preserve">Materiál  </t>
  </si>
  <si>
    <t>Prepravné</t>
  </si>
  <si>
    <t>Transfery športovým klubom</t>
  </si>
  <si>
    <t>TJ Družstevník Tekovské Lužany</t>
  </si>
  <si>
    <t>STK Tekovské Lužany</t>
  </si>
  <si>
    <t>Jednotlivci a ostatné športové aktivity</t>
  </si>
  <si>
    <t xml:space="preserve">Podpora kultúrnych a iných spoločenských aktivít </t>
  </si>
  <si>
    <t>Kultúrne služby</t>
  </si>
  <si>
    <t>08.2.0.1</t>
  </si>
  <si>
    <t>Mzdy, platy a ostatné služobné vyrovnania</t>
  </si>
  <si>
    <t>Všeobecný materiál</t>
  </si>
  <si>
    <t>Reprezentačné</t>
  </si>
  <si>
    <t>10</t>
  </si>
  <si>
    <t>Knižničné služby</t>
  </si>
  <si>
    <t>08.2.0.5</t>
  </si>
  <si>
    <t>Knižnica</t>
  </si>
  <si>
    <t>11</t>
  </si>
  <si>
    <t>Tovary a služby</t>
  </si>
  <si>
    <t>Aktivita č.3</t>
  </si>
  <si>
    <t>Organizácia občianskych obradov</t>
  </si>
  <si>
    <t>08.2.0.9</t>
  </si>
  <si>
    <t>Ostatné kultúrne služby</t>
  </si>
  <si>
    <t>12</t>
  </si>
  <si>
    <t>Špeciálne služby (ZPOZ)</t>
  </si>
  <si>
    <t>Transfery kultúre</t>
  </si>
  <si>
    <t>640</t>
  </si>
  <si>
    <t>Mažoretky</t>
  </si>
  <si>
    <t>Obecné slávnosti</t>
  </si>
  <si>
    <t>Transfery občianskym združeniam</t>
  </si>
  <si>
    <t>08.4.0.</t>
  </si>
  <si>
    <t>Náboženské a iné spoločenské služby</t>
  </si>
  <si>
    <t>Transfer cirkvi, nábož.spoločnosti, cirkevnej charite</t>
  </si>
  <si>
    <t>Transfer ostaným občianskym združeniam</t>
  </si>
  <si>
    <t>Správa cintorínov</t>
  </si>
  <si>
    <t>PROGRAM 9</t>
  </si>
  <si>
    <t>VZDELÁVANIE</t>
  </si>
  <si>
    <t>09.1.1.1.</t>
  </si>
  <si>
    <t>Predškolská výchova s bežnou starostlivosťou</t>
  </si>
  <si>
    <t>610,620</t>
  </si>
  <si>
    <t>Mzdy a odvody</t>
  </si>
  <si>
    <t>630,640</t>
  </si>
  <si>
    <t>Potraviny</t>
  </si>
  <si>
    <t>školské potreby</t>
  </si>
  <si>
    <t>dotácia na deti v predškolskom veku</t>
  </si>
  <si>
    <t>Rekonštrukcia materskej školy</t>
  </si>
  <si>
    <t>09.1.2.1.</t>
  </si>
  <si>
    <t>Základné vzdelanie s bežnou starostlivosťou</t>
  </si>
  <si>
    <t>Tovary a služby - z účtu obce</t>
  </si>
  <si>
    <t>ŠKD</t>
  </si>
  <si>
    <t>vlastné zdroje ZŠ s VJM</t>
  </si>
  <si>
    <t>dotácia na dopravné</t>
  </si>
  <si>
    <t>dotácie pre deti zo sociálne znevýhodneného prostredia</t>
  </si>
  <si>
    <t>dotácia na školské potreby</t>
  </si>
  <si>
    <t>dotácia na vzdelávacie poukazy</t>
  </si>
  <si>
    <t>vzdelávanie MRK</t>
  </si>
  <si>
    <t>vzdelávanie MPC</t>
  </si>
  <si>
    <t>Rekonštrukcia základnej školy</t>
  </si>
  <si>
    <t>Zariadenie školského stravovania</t>
  </si>
  <si>
    <t>09.6.0.1.</t>
  </si>
  <si>
    <t>Školské stravovacie zariadenia</t>
  </si>
  <si>
    <t>Odvody</t>
  </si>
  <si>
    <t xml:space="preserve">Všeobecný materiál </t>
  </si>
  <si>
    <t>Prevádzkové stroje a prístroje</t>
  </si>
  <si>
    <t>PROGRAM 10</t>
  </si>
  <si>
    <t xml:space="preserve"> SOCIÁLNE SLUŽBY</t>
  </si>
  <si>
    <t>SOCIÁLNE SLUŽBY</t>
  </si>
  <si>
    <t>Seniori</t>
  </si>
  <si>
    <t>10.2.0.1</t>
  </si>
  <si>
    <t>Staroba</t>
  </si>
  <si>
    <t>Stravovanie dôchodcov</t>
  </si>
  <si>
    <t>Vianočné poukážky</t>
  </si>
  <si>
    <t>Opatrovateľská služba</t>
  </si>
  <si>
    <t>Sociálna pomoc občanom</t>
  </si>
  <si>
    <t>10.7.0.2</t>
  </si>
  <si>
    <t>Pomoc v hmotnej a sociálnej núdzi</t>
  </si>
  <si>
    <t>Jednorázová dávka v hmotnej núdzi</t>
  </si>
  <si>
    <t>Príspevok na pohreb</t>
  </si>
  <si>
    <t>Komunitné centrum</t>
  </si>
  <si>
    <t>10.4.0.2.</t>
  </si>
  <si>
    <t>Rekonštrukcia komunitného centra</t>
  </si>
  <si>
    <t>Sociálne príspevky pre deti</t>
  </si>
  <si>
    <t>10.4.0.</t>
  </si>
  <si>
    <t>Rodina a deti</t>
  </si>
  <si>
    <t>Príspevok na stravovanie detí v hmotnej núdzi</t>
  </si>
  <si>
    <t>Príspevok na osobitného príjemcu</t>
  </si>
  <si>
    <t>príspevok pre deti v detských domovoch</t>
  </si>
  <si>
    <t>BILANCIA PROGRAMOVÉHO ROZPOČTU OBCE TEKOVSKÉ LUŽANY</t>
  </si>
  <si>
    <t>za rok 2012</t>
  </si>
  <si>
    <t>CELKOVÁ BILANCIA ROZPOČTU</t>
  </si>
  <si>
    <t>2. úprava</t>
  </si>
  <si>
    <t>Rozpočtové zdroje:</t>
  </si>
  <si>
    <t>Finančné operácie príjmové</t>
  </si>
  <si>
    <t>ROZPOČTOVÉ ZDROJE SPOLU</t>
  </si>
  <si>
    <t>Rozpočtové výdavky:</t>
  </si>
  <si>
    <t>Bežné výdavky</t>
  </si>
  <si>
    <t>Kapitálové výdavky</t>
  </si>
  <si>
    <t>Finančné operácie výdavkové</t>
  </si>
  <si>
    <t>ROZPOČTOVÉ VÝDAVKY SPOLU</t>
  </si>
  <si>
    <t>ROZDIEL</t>
  </si>
  <si>
    <t>PROGRAMOVÁ BILANCIA ROZPOČTU</t>
  </si>
  <si>
    <t>1.úprava</t>
  </si>
  <si>
    <t>Program 1</t>
  </si>
  <si>
    <t>Program 2</t>
  </si>
  <si>
    <t>Program 3</t>
  </si>
  <si>
    <t>Program 4</t>
  </si>
  <si>
    <t>Program 5</t>
  </si>
  <si>
    <t>Program 6</t>
  </si>
  <si>
    <t>Program 7</t>
  </si>
  <si>
    <t>Program 8</t>
  </si>
  <si>
    <t>Program 9</t>
  </si>
  <si>
    <t>Program 10</t>
  </si>
  <si>
    <t>Programové výdavky celkom</t>
  </si>
  <si>
    <t>Výdavky rozpočtu obce Tekovské Lužany na rok 2012</t>
  </si>
  <si>
    <t>01 všeobecné verejné služby</t>
  </si>
  <si>
    <t>€</t>
  </si>
  <si>
    <t>plnenie      I. Q</t>
  </si>
  <si>
    <t>vlastná úprava</t>
  </si>
  <si>
    <t>2.úprava rozpočtu</t>
  </si>
  <si>
    <t>01.1.1 Výdavky verejnej správy</t>
  </si>
  <si>
    <t>Mzdy, platy, sl.príjmy a ost.os.vyrovnania</t>
  </si>
  <si>
    <t>Mzdy - za sčítanie obyv.</t>
  </si>
  <si>
    <t>Na úrazové poistenie</t>
  </si>
  <si>
    <t>z toho  631</t>
  </si>
  <si>
    <t>Energia, voda, telekomunikácie</t>
  </si>
  <si>
    <t>v tom:energia, telekomunikácie-voľby</t>
  </si>
  <si>
    <t>Materiál:</t>
  </si>
  <si>
    <t>interiérové vybavenie</t>
  </si>
  <si>
    <t>výpočtová technika</t>
  </si>
  <si>
    <t>prevádzkové stroje a zariadenia</t>
  </si>
  <si>
    <t>všeobecný materiál - životné prostredie</t>
  </si>
  <si>
    <t>všeobecný materiál</t>
  </si>
  <si>
    <t>v tom: všeobecný materiál-zdroj ŠR</t>
  </si>
  <si>
    <t>009.</t>
  </si>
  <si>
    <t>knihy, časopisy</t>
  </si>
  <si>
    <t>010.</t>
  </si>
  <si>
    <t>pracovné odevy pomôcky</t>
  </si>
  <si>
    <t>011.</t>
  </si>
  <si>
    <t>potraviny</t>
  </si>
  <si>
    <t>softvér a licencie</t>
  </si>
  <si>
    <t>016.</t>
  </si>
  <si>
    <t>reprezentačné</t>
  </si>
  <si>
    <t>reprezentačné - voľby</t>
  </si>
  <si>
    <t>Doprava:</t>
  </si>
  <si>
    <t>palivo, mazivá, oleje</t>
  </si>
  <si>
    <t>v tom:palivá,mazivá, oleje - voľby</t>
  </si>
  <si>
    <t>údržba, opravy</t>
  </si>
  <si>
    <t>poistenie</t>
  </si>
  <si>
    <t>prepravné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</si>
  <si>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</si>
  <si>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</si>
  <si>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</si>
  <si>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</si>
  <si>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</si>
  <si>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</si>
  <si>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</si>
  <si>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</si>
  <si>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</si>
  <si>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</si>
  <si>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</si>
  <si>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</si>
  <si>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</si>
  <si>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vš.služby-vian.dekor. - min.roky</t>
  </si>
  <si>
    <t>špeciálne služby</t>
  </si>
  <si>
    <t>štúdie, posudky</t>
  </si>
  <si>
    <t>poplatky, odvody a dane</t>
  </si>
  <si>
    <t>stravovanie</t>
  </si>
  <si>
    <t>stravovanie - voľby</t>
  </si>
  <si>
    <t>015.</t>
  </si>
  <si>
    <t>poistné</t>
  </si>
  <si>
    <t>prídel do sociálneho fondu</t>
  </si>
  <si>
    <t>018.</t>
  </si>
  <si>
    <t>vrátenie príjmov z mr</t>
  </si>
  <si>
    <t>023.</t>
  </si>
  <si>
    <t>kolkové známky</t>
  </si>
  <si>
    <t>026.</t>
  </si>
  <si>
    <t>odmeny na základe dohôd-pre čl.zast.</t>
  </si>
  <si>
    <t>027.</t>
  </si>
  <si>
    <t>Odmeny a príspevky-voľby</t>
  </si>
  <si>
    <t>Bežné transfery</t>
  </si>
  <si>
    <t>nezisk.org.-všeob.prosp.služby</t>
  </si>
  <si>
    <t>na členské príspevky</t>
  </si>
  <si>
    <t>splácanie úrokov banke - úver</t>
  </si>
  <si>
    <t>provízie</t>
  </si>
  <si>
    <t>01.1.2 Finančná a rozpočtová oblasť</t>
  </si>
  <si>
    <t>01.3.3 Iné všeobecné služby /matrika/</t>
  </si>
  <si>
    <t xml:space="preserve"> Mzdy - zdroj ŠR</t>
  </si>
  <si>
    <t xml:space="preserve"> Poistné a prísp. do poisťovní-zdroj ŠR</t>
  </si>
  <si>
    <t>v tom: Pracovné odevy+materiál</t>
  </si>
  <si>
    <t>Školenia, kurzy, semináre</t>
  </si>
  <si>
    <t>01</t>
  </si>
  <si>
    <t>Všeobecné verejné služby</t>
  </si>
  <si>
    <t>02 civilná ochrana</t>
  </si>
  <si>
    <t>02.2.0 Civilná obrana</t>
  </si>
  <si>
    <t>Poštové a telekomunikačné služby,ost.sl.</t>
  </si>
  <si>
    <t>Všeobecné služby</t>
  </si>
  <si>
    <t>02</t>
  </si>
  <si>
    <t>03 policajné služby</t>
  </si>
  <si>
    <t>plnenie I. - IV. Q</t>
  </si>
  <si>
    <t>03.1.0 Policajné služby</t>
  </si>
  <si>
    <t>cestovné náhrady</t>
  </si>
  <si>
    <t>Výpočtová technika</t>
  </si>
  <si>
    <t>Knihy, časopisy, odborná literatúra</t>
  </si>
  <si>
    <t>Pracovné odevy, obuv, prac. Pomôcky</t>
  </si>
  <si>
    <t>Palivá, mazivá, oleje</t>
  </si>
  <si>
    <t>Údržba, opravy</t>
  </si>
  <si>
    <t>Poistenie</t>
  </si>
  <si>
    <t>Rutinná a štandartná údržba-výp.techn.</t>
  </si>
  <si>
    <t>Služby,školenia</t>
  </si>
  <si>
    <t>Transfery (členské, odchodné)</t>
  </si>
  <si>
    <t>Odmeny na základe dohôd</t>
  </si>
  <si>
    <t>03.2.0 Požiarna ochrana</t>
  </si>
  <si>
    <t>Interiérové vybavenie</t>
  </si>
  <si>
    <t>Prevádzkové stroje,prístroje, zariad.</t>
  </si>
  <si>
    <t>Špeciálne služby</t>
  </si>
  <si>
    <t>03</t>
  </si>
  <si>
    <t>Policajné služby, PO</t>
  </si>
  <si>
    <t>04 všeobecná ekonomická a obchodná oblasť</t>
  </si>
  <si>
    <t>plnenie     I. Q</t>
  </si>
  <si>
    <t>04.1.1 Všeobecná ekonomická a obchodná oblasť</t>
  </si>
  <si>
    <t>Prevádzkové stroje, prístr.,zar.</t>
  </si>
  <si>
    <t>Pracovné odevy, obuv a prac. Pomôcky</t>
  </si>
  <si>
    <t>Služby,školenia,poistenie</t>
  </si>
  <si>
    <t>odstupné</t>
  </si>
  <si>
    <t>04.1.2 Všeobecno - pracovná oblasť /aktivačná činnosť/</t>
  </si>
  <si>
    <t>mzdy - zdroj ŠR</t>
  </si>
  <si>
    <t>Poistné a prísp. do poisťovní - zdroj ŠR</t>
  </si>
  <si>
    <t>Materiál - zdroj ŠR</t>
  </si>
  <si>
    <t>04.4.3 Výstavba</t>
  </si>
  <si>
    <t>04.5.1 Cestná doprava</t>
  </si>
  <si>
    <t>04.7.3 Cestovný ruch</t>
  </si>
  <si>
    <t>04</t>
  </si>
  <si>
    <t>Ekonomická oblasť</t>
  </si>
  <si>
    <t>05 ochrana životného prostredia</t>
  </si>
  <si>
    <t>05.1.0 Nakladanie s odpadmi</t>
  </si>
  <si>
    <t>Palivá, mazivá a oleje</t>
  </si>
  <si>
    <t>Prenájom</t>
  </si>
  <si>
    <t>v tom: Služby - min.roky</t>
  </si>
  <si>
    <t>05.2.0 Nakladanie s odpadovými vodami</t>
  </si>
  <si>
    <t>Dopravné, servis</t>
  </si>
  <si>
    <t>Servis a údržba</t>
  </si>
  <si>
    <t xml:space="preserve">Poistné </t>
  </si>
  <si>
    <t>Rutinná a štandardtná údržba</t>
  </si>
  <si>
    <t>05.6.0 Ochrana životného prostredia</t>
  </si>
  <si>
    <t>Rutinná a štandratná údržba</t>
  </si>
  <si>
    <t>05</t>
  </si>
  <si>
    <t>Ochrana životného prostredia</t>
  </si>
  <si>
    <t>06 občianska vybavenosť</t>
  </si>
  <si>
    <t>plnenie       I. Q</t>
  </si>
  <si>
    <t>06.2.0 Rozvoj obce</t>
  </si>
  <si>
    <t xml:space="preserve">Služby-centrum obce </t>
  </si>
  <si>
    <t>Služby - zdroj ŠR</t>
  </si>
  <si>
    <t>06.4.0 Verejné osvetlenie</t>
  </si>
  <si>
    <t>06</t>
  </si>
  <si>
    <t>Občianska vybavenosť</t>
  </si>
  <si>
    <t>07 zdravotníctvo</t>
  </si>
  <si>
    <t>plnenie        I. Q</t>
  </si>
  <si>
    <t>07.6.0 Zdravotníctvo inde neklasifikované</t>
  </si>
  <si>
    <t>Mzdy, platy,príjmy a ost. os. vyrovn.</t>
  </si>
  <si>
    <t>07</t>
  </si>
  <si>
    <t>Zdravotníctvo</t>
  </si>
  <si>
    <t>08 športové, kultúrne a spoločenské služby</t>
  </si>
  <si>
    <t>08.1.0 Rekreačné a športové služby</t>
  </si>
  <si>
    <t xml:space="preserve">Transfery  </t>
  </si>
  <si>
    <t>08.2.0 Kultúrne služby</t>
  </si>
  <si>
    <t xml:space="preserve"> Materiál</t>
  </si>
  <si>
    <t>Reprezentačné-mažoretky</t>
  </si>
  <si>
    <t>Všeobecné služby-oslava možor.</t>
  </si>
  <si>
    <t>Všeobecné služby-posed.s dôch.</t>
  </si>
  <si>
    <t>Nájomné prev. strojov</t>
  </si>
  <si>
    <t>Všeobecné služby-obecné slávnosti</t>
  </si>
  <si>
    <t>na odstupné</t>
  </si>
  <si>
    <t>08.2.0.3 Klubové a špeciálne kultúrne zariadenia</t>
  </si>
  <si>
    <t>08.2.0.5 Knižnice</t>
  </si>
  <si>
    <t>Materiál, knihy</t>
  </si>
  <si>
    <t>08.2.0.9 Ostatné kultúrne služby</t>
  </si>
  <si>
    <t>Špeciálne služby (kronika, ZPOZ)</t>
  </si>
  <si>
    <t>08.3.0 Vysielacie a vydavateľské služby</t>
  </si>
  <si>
    <t>08.4.0 Náboženské a iné spoločenské služby</t>
  </si>
  <si>
    <t>Energie, služby</t>
  </si>
  <si>
    <t>Nezisk.org.poskyt.všeob.prospešné služby</t>
  </si>
  <si>
    <t>08</t>
  </si>
  <si>
    <t>Športové, kultúrne a spol.služby</t>
  </si>
  <si>
    <t>09 vzdelávanie</t>
  </si>
  <si>
    <t>09.1.1.1 Predškolská výchova s bežnou starostlivosťou</t>
  </si>
  <si>
    <t>MŠ</t>
  </si>
  <si>
    <t>610,620,</t>
  </si>
  <si>
    <t>630,640,</t>
  </si>
  <si>
    <t>Tovary a služby- z účtu OÚ</t>
  </si>
  <si>
    <t>v tom: školské potreby</t>
  </si>
  <si>
    <t>v tom: predšk. vek</t>
  </si>
  <si>
    <t>ZŠS</t>
  </si>
  <si>
    <t>09.1.2.1 Základné vzdelanie s bežnou starostlivosťou</t>
  </si>
  <si>
    <t>Tovary a služby-z účtu OcÚ</t>
  </si>
  <si>
    <t>09.1.2.2</t>
  </si>
  <si>
    <t>vlastné zdroje ZŠ VJM</t>
  </si>
  <si>
    <t>dotácie a príspevky</t>
  </si>
  <si>
    <t>dopravné</t>
  </si>
  <si>
    <t>dotácia pre deti zo soc.znevýh.prostredia</t>
  </si>
  <si>
    <t>vzdelávacie poukazy</t>
  </si>
  <si>
    <t>vzdelávanie MRK-školy</t>
  </si>
  <si>
    <t>vzdelávanie MRK - z rozp. obce-školy</t>
  </si>
  <si>
    <t>vzdelávanie MRK - adm.</t>
  </si>
  <si>
    <t>vzdelávanie MRK -adm.-z rozp.obce</t>
  </si>
  <si>
    <t>vzdelávanie M-PC</t>
  </si>
  <si>
    <t>09.6.0.1</t>
  </si>
  <si>
    <t>Energia,voda,telekomunikácia</t>
  </si>
  <si>
    <t>Prac.odevy, obuv, prac.pomôcky</t>
  </si>
  <si>
    <t>Prevádzkové stroje,prístr.</t>
  </si>
  <si>
    <t>Rutinná údržba budov prev.strojov,zar.</t>
  </si>
  <si>
    <t>09</t>
  </si>
  <si>
    <t>Vzdelávanie</t>
  </si>
  <si>
    <t>10 sociálne zabezpečenie</t>
  </si>
  <si>
    <t>10  Sociálne zabezpečenie</t>
  </si>
  <si>
    <t>10.2.0.2</t>
  </si>
  <si>
    <t>pohrebné</t>
  </si>
  <si>
    <t>nenávr. dávka v HN</t>
  </si>
  <si>
    <t>10.7.0.1</t>
  </si>
  <si>
    <t>Jednorázová dávka v HN</t>
  </si>
  <si>
    <t>10.4.0.2</t>
  </si>
  <si>
    <t>Komunitné a informačné centrum</t>
  </si>
  <si>
    <t>10.7.0.1.</t>
  </si>
  <si>
    <t>Sociálne príspevky</t>
  </si>
  <si>
    <t xml:space="preserve">Občianskemu združ.,-mažoretky </t>
  </si>
  <si>
    <t>10.7.0.</t>
  </si>
  <si>
    <t>výdavky na miesta v detských domovoch</t>
  </si>
  <si>
    <t>9.1.2.1</t>
  </si>
  <si>
    <t>škoské potreby-zdroj ŠR</t>
  </si>
  <si>
    <t>na stravovanie detí v HN-zdroj ŠR</t>
  </si>
  <si>
    <t>príspevok na dopravu-zdroj ŠR</t>
  </si>
  <si>
    <t>osobitný príjemca-RP</t>
  </si>
  <si>
    <t>Sociálne zabezpečenie</t>
  </si>
  <si>
    <t>Bežné výdavky spolu:</t>
  </si>
  <si>
    <t>Prev.zariadenie - kamerový systém</t>
  </si>
  <si>
    <t>v tom:Prev.zariad. - kamerový systém-ŠR</t>
  </si>
  <si>
    <t>Rekonštrukcia a prístavba hasičskej zbrojnice</t>
  </si>
  <si>
    <t>Prípravná a projektová dokumentácia</t>
  </si>
  <si>
    <t>04.5.1.3 Správa a údržba ciest</t>
  </si>
  <si>
    <t>Rekonštrukcia ciest, chodníkov</t>
  </si>
  <si>
    <r>
      <t>05.</t>
    </r>
    <r>
      <rPr>
        <b/>
        <i/>
        <sz val="8"/>
        <rFont val="Arial CE"/>
        <family val="2"/>
      </rPr>
      <t>2.0 Nakladanie s odpadovými vodami</t>
    </r>
  </si>
  <si>
    <t>06.4.0. Verejné osvetlenie</t>
  </si>
  <si>
    <t>Rekonštrukcia a modernizácia VO</t>
  </si>
  <si>
    <t>06.2.0 Rozvoj obcí</t>
  </si>
  <si>
    <t>ZS</t>
  </si>
  <si>
    <t>Rekonštrukcia parku</t>
  </si>
  <si>
    <t>Výstavba centra obce</t>
  </si>
  <si>
    <t>v tom:Výstavba centra obce-EÚ</t>
  </si>
  <si>
    <t>Rekonštrukcia autobusových zastávok</t>
  </si>
  <si>
    <t>Viacúčelové športové ihrisko</t>
  </si>
  <si>
    <t>Realizácia stavieb</t>
  </si>
  <si>
    <t>Rekonštrukcia a modernizácia</t>
  </si>
  <si>
    <t>v tom:Rekonštrukcia a modernizácia-EÚ</t>
  </si>
  <si>
    <t>Kapitálové výdavky spolu:</t>
  </si>
  <si>
    <t>Výdavkové finančné oprácie</t>
  </si>
  <si>
    <t>Výdavkové finančné operácie</t>
  </si>
  <si>
    <t>Splácanie finančného prenájmu</t>
  </si>
  <si>
    <t>Splácanie istiny z bankových úverov</t>
  </si>
  <si>
    <t>Výdavkové finančné operácie spolu:</t>
  </si>
  <si>
    <t>Sumarizácia</t>
  </si>
  <si>
    <t>Bežné výdavky spolu</t>
  </si>
  <si>
    <t>Kapitálové výdavky spolu</t>
  </si>
  <si>
    <t>Rozpočtové výdavky spolu</t>
  </si>
  <si>
    <t>PLNENIE PROGRAMOVÉHO ROZPOČTU OBCE TEKOVSKÉ LUŽANY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</si>
</sst>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\ #,##0.00&quot; € &quot;;\-#,##0.00&quot; € &quot;;&quot; -&quot;#&quot; € &quot;;@\ "/>
    <numFmt numFmtId="167" formatCode="\ #,##0.00,&quot;     &quot;;\-#,##0.00,&quot;     &quot;;&quot; -&quot;#&quot;      &quot;;@\ "/>
    <numFmt numFmtId="168" formatCode="dd/mm/yyyy"/>
    <numFmt numFmtId="169" formatCode="#,##0;\-#,##0"/>
    <numFmt numFmtId="170" formatCode="#,##0.00;\-#,##0.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9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i/>
      <sz val="8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i/>
      <sz val="8"/>
      <name val="Arial CE"/>
      <family val="2"/>
    </font>
    <font>
      <i/>
      <sz val="8"/>
      <color indexed="10"/>
      <name val="Arial CE"/>
      <family val="2"/>
    </font>
    <font>
      <b/>
      <i/>
      <sz val="8"/>
      <color indexed="17"/>
      <name val="Arial CE"/>
      <family val="2"/>
    </font>
    <font>
      <b/>
      <sz val="8"/>
      <color indexed="17"/>
      <name val="Arial CE"/>
      <family val="2"/>
    </font>
    <font>
      <sz val="8"/>
      <color indexed="8"/>
      <name val="Arial CE"/>
      <family val="2"/>
    </font>
    <font>
      <sz val="10"/>
      <color indexed="17"/>
      <name val="Arial CE"/>
      <family val="2"/>
    </font>
    <font>
      <sz val="8"/>
      <color indexed="57"/>
      <name val="Arial CE"/>
      <family val="2"/>
    </font>
    <font>
      <b/>
      <sz val="8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i/>
      <sz val="11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11"/>
      <name val="Arial"/>
      <family val="2"/>
    </font>
    <font>
      <i/>
      <sz val="8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color indexed="12"/>
      <name val="Arial CE"/>
      <family val="2"/>
    </font>
    <font>
      <sz val="8"/>
      <color indexed="48"/>
      <name val="Arial CE"/>
      <family val="2"/>
    </font>
    <font>
      <i/>
      <sz val="8"/>
      <color indexed="12"/>
      <name val="Arial CE"/>
      <family val="2"/>
    </font>
    <font>
      <b/>
      <sz val="8"/>
      <color indexed="57"/>
      <name val="Arial CE"/>
      <family val="2"/>
    </font>
    <font>
      <b/>
      <i/>
      <sz val="8"/>
      <color indexed="57"/>
      <name val="Arial CE"/>
      <family val="2"/>
    </font>
    <font>
      <b/>
      <sz val="10"/>
      <color indexed="57"/>
      <name val="Arial CE"/>
      <family val="2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8"/>
      <color indexed="48"/>
      <name val="Arial CE"/>
      <family val="2"/>
    </font>
    <font>
      <i/>
      <sz val="8"/>
      <color indexed="8"/>
      <name val="Arial CE"/>
      <family val="2"/>
    </font>
    <font>
      <i/>
      <sz val="8"/>
      <color indexed="17"/>
      <name val="Arial CE"/>
      <family val="2"/>
    </font>
    <font>
      <b/>
      <i/>
      <sz val="8"/>
      <color indexed="21"/>
      <name val="Arial CE"/>
      <family val="2"/>
    </font>
    <font>
      <b/>
      <i/>
      <sz val="10"/>
      <color indexed="57"/>
      <name val="Arial CE"/>
      <family val="2"/>
    </font>
    <font>
      <sz val="8"/>
      <color indexed="11"/>
      <name val="Arial CE"/>
      <family val="2"/>
    </font>
    <font>
      <i/>
      <sz val="10"/>
      <color indexed="12"/>
      <name val="Arial CE"/>
      <family val="2"/>
    </font>
    <font>
      <sz val="8"/>
      <color indexed="21"/>
      <name val="Arial CE"/>
      <family val="2"/>
    </font>
    <font>
      <sz val="7"/>
      <name val="Arial CE"/>
      <family val="2"/>
    </font>
    <font>
      <b/>
      <i/>
      <sz val="10"/>
      <color indexed="12"/>
      <name val="Arial CE"/>
      <family val="2"/>
    </font>
    <font>
      <b/>
      <i/>
      <sz val="9"/>
      <name val="Arial CE"/>
      <family val="2"/>
    </font>
    <font>
      <i/>
      <sz val="11"/>
      <name val="Arial CE"/>
      <family val="2"/>
    </font>
    <font>
      <b/>
      <sz val="14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31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167" fontId="0" fillId="0" borderId="0" applyFill="0" applyAlignment="0" applyProtection="0"/>
    <xf numFmtId="41" fontId="1" fillId="0" borderId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1" fillId="24" borderId="5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7" applyNumberFormat="0" applyFill="0" applyAlignment="0" applyProtection="0"/>
    <xf numFmtId="0" fontId="15" fillId="0" borderId="3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0" borderId="0">
      <alignment/>
      <protection/>
    </xf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0" fillId="9" borderId="9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9" fontId="0" fillId="0" borderId="0" applyFill="0" applyAlignment="0" applyProtection="0"/>
    <xf numFmtId="0" fontId="1" fillId="9" borderId="9" applyNumberFormat="0" applyAlignment="0" applyProtection="0"/>
    <xf numFmtId="0" fontId="13" fillId="0" borderId="6" applyNumberFormat="0" applyFill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2" fillId="7" borderId="1" applyNumberFormat="0" applyAlignment="0" applyProtection="0"/>
    <xf numFmtId="0" fontId="5" fillId="14" borderId="1" applyNumberFormat="0" applyAlignment="0" applyProtection="0"/>
    <xf numFmtId="0" fontId="18" fillId="14" borderId="10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</cellStyleXfs>
  <cellXfs count="163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5" fillId="3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7" borderId="13" xfId="0" applyFont="1" applyFill="1" applyBorder="1" applyAlignment="1">
      <alignment/>
    </xf>
    <xf numFmtId="0" fontId="25" fillId="7" borderId="14" xfId="0" applyFont="1" applyFill="1" applyBorder="1" applyAlignment="1">
      <alignment vertical="top"/>
    </xf>
    <xf numFmtId="0" fontId="25" fillId="7" borderId="15" xfId="0" applyFont="1" applyFill="1" applyBorder="1" applyAlignment="1">
      <alignment horizontal="center"/>
    </xf>
    <xf numFmtId="0" fontId="24" fillId="7" borderId="16" xfId="0" applyFont="1" applyFill="1" applyBorder="1" applyAlignment="1">
      <alignment horizontal="justify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6" xfId="0" applyNumberFormat="1" applyFont="1" applyFill="1" applyBorder="1" applyAlignment="1">
      <alignment horizontal="center" vertical="center"/>
    </xf>
    <xf numFmtId="3" fontId="24" fillId="7" borderId="16" xfId="0" applyNumberFormat="1" applyFont="1" applyFill="1" applyBorder="1" applyAlignment="1">
      <alignment horizontal="justify" vertical="center"/>
    </xf>
    <xf numFmtId="2" fontId="24" fillId="7" borderId="16" xfId="0" applyNumberFormat="1" applyFont="1" applyFill="1" applyBorder="1" applyAlignment="1">
      <alignment horizontal="justify" vertical="center"/>
    </xf>
    <xf numFmtId="2" fontId="24" fillId="7" borderId="17" xfId="0" applyNumberFormat="1" applyFont="1" applyFill="1" applyBorder="1" applyAlignment="1">
      <alignment horizontal="justify" vertical="center"/>
    </xf>
    <xf numFmtId="2" fontId="24" fillId="7" borderId="18" xfId="0" applyNumberFormat="1" applyFont="1" applyFill="1" applyBorder="1" applyAlignment="1">
      <alignment horizontal="justify" vertical="center"/>
    </xf>
    <xf numFmtId="0" fontId="26" fillId="15" borderId="19" xfId="0" applyFont="1" applyFill="1" applyBorder="1" applyAlignment="1">
      <alignment/>
    </xf>
    <xf numFmtId="0" fontId="27" fillId="15" borderId="0" xfId="0" applyFont="1" applyFill="1" applyBorder="1" applyAlignment="1">
      <alignment vertical="top"/>
    </xf>
    <xf numFmtId="0" fontId="27" fillId="15" borderId="20" xfId="0" applyFont="1" applyFill="1" applyBorder="1" applyAlignment="1">
      <alignment horizontal="center"/>
    </xf>
    <xf numFmtId="3" fontId="28" fillId="15" borderId="16" xfId="0" applyNumberFormat="1" applyFont="1" applyFill="1" applyBorder="1" applyAlignment="1">
      <alignment horizontal="right" vertical="top"/>
    </xf>
    <xf numFmtId="4" fontId="28" fillId="15" borderId="16" xfId="0" applyNumberFormat="1" applyFont="1" applyFill="1" applyBorder="1" applyAlignment="1">
      <alignment horizontal="right" vertical="top"/>
    </xf>
    <xf numFmtId="3" fontId="28" fillId="15" borderId="16" xfId="0" applyNumberFormat="1" applyFont="1" applyFill="1" applyBorder="1" applyAlignment="1">
      <alignment horizontal="center" vertical="top"/>
    </xf>
    <xf numFmtId="4" fontId="28" fillId="15" borderId="16" xfId="0" applyNumberFormat="1" applyFont="1" applyFill="1" applyBorder="1" applyAlignment="1">
      <alignment horizontal="center" vertical="top"/>
    </xf>
    <xf numFmtId="4" fontId="29" fillId="15" borderId="16" xfId="0" applyNumberFormat="1" applyFont="1" applyFill="1" applyBorder="1" applyAlignment="1">
      <alignment horizontal="center" vertical="top"/>
    </xf>
    <xf numFmtId="4" fontId="28" fillId="15" borderId="13" xfId="0" applyNumberFormat="1" applyFont="1" applyFill="1" applyBorder="1" applyAlignment="1">
      <alignment horizontal="right" vertical="top"/>
    </xf>
    <xf numFmtId="0" fontId="28" fillId="15" borderId="16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3" fontId="31" fillId="0" borderId="16" xfId="0" applyNumberFormat="1" applyFont="1" applyFill="1" applyBorder="1" applyAlignment="1">
      <alignment horizontal="right"/>
    </xf>
    <xf numFmtId="3" fontId="30" fillId="0" borderId="16" xfId="0" applyNumberFormat="1" applyFont="1" applyFill="1" applyBorder="1" applyAlignment="1">
      <alignment horizontal="right"/>
    </xf>
    <xf numFmtId="1" fontId="31" fillId="0" borderId="16" xfId="0" applyNumberFormat="1" applyFont="1" applyFill="1" applyBorder="1" applyAlignment="1">
      <alignment horizontal="center"/>
    </xf>
    <xf numFmtId="4" fontId="31" fillId="0" borderId="16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 horizontal="center"/>
    </xf>
    <xf numFmtId="4" fontId="32" fillId="0" borderId="16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3" fontId="30" fillId="0" borderId="17" xfId="0" applyNumberFormat="1" applyFont="1" applyBorder="1" applyAlignment="1">
      <alignment horizontal="right"/>
    </xf>
    <xf numFmtId="3" fontId="31" fillId="0" borderId="17" xfId="0" applyNumberFormat="1" applyFont="1" applyBorder="1" applyAlignment="1">
      <alignment horizontal="right"/>
    </xf>
    <xf numFmtId="1" fontId="30" fillId="0" borderId="17" xfId="0" applyNumberFormat="1" applyFont="1" applyFill="1" applyBorder="1" applyAlignment="1">
      <alignment horizontal="center"/>
    </xf>
    <xf numFmtId="3" fontId="30" fillId="0" borderId="17" xfId="0" applyNumberFormat="1" applyFont="1" applyFill="1" applyBorder="1" applyAlignment="1">
      <alignment horizontal="right"/>
    </xf>
    <xf numFmtId="4" fontId="30" fillId="0" borderId="17" xfId="0" applyNumberFormat="1" applyFont="1" applyFill="1" applyBorder="1" applyAlignment="1">
      <alignment horizontal="right"/>
    </xf>
    <xf numFmtId="4" fontId="30" fillId="0" borderId="16" xfId="0" applyNumberFormat="1" applyFont="1" applyFill="1" applyBorder="1" applyAlignment="1">
      <alignment horizontal="center"/>
    </xf>
    <xf numFmtId="4" fontId="33" fillId="0" borderId="16" xfId="0" applyNumberFormat="1" applyFont="1" applyFill="1" applyBorder="1" applyAlignment="1">
      <alignment horizontal="center"/>
    </xf>
    <xf numFmtId="4" fontId="30" fillId="0" borderId="18" xfId="0" applyNumberFormat="1" applyFont="1" applyFill="1" applyBorder="1" applyAlignment="1">
      <alignment horizontal="right"/>
    </xf>
    <xf numFmtId="1" fontId="34" fillId="0" borderId="17" xfId="0" applyNumberFormat="1" applyFont="1" applyBorder="1" applyAlignment="1">
      <alignment horizontal="left"/>
    </xf>
    <xf numFmtId="4" fontId="34" fillId="0" borderId="17" xfId="0" applyNumberFormat="1" applyFont="1" applyBorder="1" applyAlignment="1">
      <alignment horizontal="left"/>
    </xf>
    <xf numFmtId="4" fontId="34" fillId="0" borderId="16" xfId="0" applyNumberFormat="1" applyFont="1" applyFill="1" applyBorder="1" applyAlignment="1">
      <alignment horizontal="left"/>
    </xf>
    <xf numFmtId="4" fontId="35" fillId="0" borderId="16" xfId="0" applyNumberFormat="1" applyFont="1" applyFill="1" applyBorder="1" applyAlignment="1">
      <alignment horizontal="left"/>
    </xf>
    <xf numFmtId="4" fontId="34" fillId="0" borderId="18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3" fontId="30" fillId="0" borderId="16" xfId="0" applyNumberFormat="1" applyFont="1" applyBorder="1" applyAlignment="1">
      <alignment/>
    </xf>
    <xf numFmtId="3" fontId="30" fillId="0" borderId="16" xfId="0" applyNumberFormat="1" applyFont="1" applyBorder="1" applyAlignment="1">
      <alignment horizontal="right"/>
    </xf>
    <xf numFmtId="3" fontId="31" fillId="0" borderId="16" xfId="0" applyNumberFormat="1" applyFont="1" applyBorder="1" applyAlignment="1">
      <alignment/>
    </xf>
    <xf numFmtId="1" fontId="30" fillId="0" borderId="16" xfId="0" applyNumberFormat="1" applyFont="1" applyBorder="1" applyAlignment="1">
      <alignment horizontal="center"/>
    </xf>
    <xf numFmtId="4" fontId="30" fillId="0" borderId="16" xfId="0" applyNumberFormat="1" applyFont="1" applyBorder="1" applyAlignment="1">
      <alignment horizontal="right"/>
    </xf>
    <xf numFmtId="4" fontId="30" fillId="0" borderId="13" xfId="0" applyNumberFormat="1" applyFont="1" applyBorder="1" applyAlignment="1">
      <alignment horizontal="right"/>
    </xf>
    <xf numFmtId="1" fontId="34" fillId="0" borderId="16" xfId="0" applyNumberFormat="1" applyFont="1" applyBorder="1" applyAlignment="1">
      <alignment horizontal="left"/>
    </xf>
    <xf numFmtId="3" fontId="34" fillId="0" borderId="16" xfId="0" applyNumberFormat="1" applyFont="1" applyBorder="1" applyAlignment="1">
      <alignment horizontal="left"/>
    </xf>
    <xf numFmtId="4" fontId="34" fillId="0" borderId="16" xfId="0" applyNumberFormat="1" applyFont="1" applyBorder="1" applyAlignment="1">
      <alignment horizontal="left"/>
    </xf>
    <xf numFmtId="4" fontId="34" fillId="0" borderId="13" xfId="0" applyNumberFormat="1" applyFont="1" applyBorder="1" applyAlignment="1">
      <alignment horizontal="left"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 horizontal="center"/>
    </xf>
    <xf numFmtId="3" fontId="30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26" fillId="15" borderId="13" xfId="0" applyFont="1" applyFill="1" applyBorder="1" applyAlignment="1">
      <alignment/>
    </xf>
    <xf numFmtId="0" fontId="26" fillId="15" borderId="14" xfId="0" applyFont="1" applyFill="1" applyBorder="1" applyAlignment="1">
      <alignment/>
    </xf>
    <xf numFmtId="0" fontId="26" fillId="15" borderId="15" xfId="0" applyFont="1" applyFill="1" applyBorder="1" applyAlignment="1">
      <alignment/>
    </xf>
    <xf numFmtId="3" fontId="28" fillId="15" borderId="16" xfId="0" applyNumberFormat="1" applyFont="1" applyFill="1" applyBorder="1" applyAlignment="1">
      <alignment horizontal="right"/>
    </xf>
    <xf numFmtId="4" fontId="28" fillId="15" borderId="16" xfId="0" applyNumberFormat="1" applyFont="1" applyFill="1" applyBorder="1" applyAlignment="1">
      <alignment horizontal="right"/>
    </xf>
    <xf numFmtId="0" fontId="28" fillId="15" borderId="16" xfId="0" applyNumberFormat="1" applyFont="1" applyFill="1" applyBorder="1" applyAlignment="1">
      <alignment horizontal="center"/>
    </xf>
    <xf numFmtId="4" fontId="28" fillId="15" borderId="16" xfId="0" applyNumberFormat="1" applyFont="1" applyFill="1" applyBorder="1" applyAlignment="1">
      <alignment horizontal="center"/>
    </xf>
    <xf numFmtId="4" fontId="29" fillId="15" borderId="16" xfId="0" applyNumberFormat="1" applyFont="1" applyFill="1" applyBorder="1" applyAlignment="1">
      <alignment horizontal="center"/>
    </xf>
    <xf numFmtId="4" fontId="28" fillId="15" borderId="13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3" fontId="31" fillId="0" borderId="16" xfId="0" applyNumberFormat="1" applyFont="1" applyBorder="1" applyAlignment="1">
      <alignment horizontal="right"/>
    </xf>
    <xf numFmtId="0" fontId="30" fillId="0" borderId="16" xfId="0" applyNumberFormat="1" applyFont="1" applyBorder="1" applyAlignment="1">
      <alignment horizontal="center"/>
    </xf>
    <xf numFmtId="4" fontId="30" fillId="0" borderId="16" xfId="0" applyNumberFormat="1" applyFont="1" applyBorder="1" applyAlignment="1">
      <alignment horizontal="center"/>
    </xf>
    <xf numFmtId="0" fontId="34" fillId="0" borderId="16" xfId="0" applyNumberFormat="1" applyFont="1" applyBorder="1" applyAlignment="1">
      <alignment horizontal="left"/>
    </xf>
    <xf numFmtId="0" fontId="0" fillId="0" borderId="21" xfId="0" applyFont="1" applyBorder="1" applyAlignment="1">
      <alignment/>
    </xf>
    <xf numFmtId="4" fontId="33" fillId="0" borderId="16" xfId="0" applyNumberFormat="1" applyFont="1" applyBorder="1" applyAlignment="1">
      <alignment horizontal="center"/>
    </xf>
    <xf numFmtId="0" fontId="30" fillId="0" borderId="18" xfId="0" applyFont="1" applyBorder="1" applyAlignment="1">
      <alignment/>
    </xf>
    <xf numFmtId="0" fontId="30" fillId="0" borderId="22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30" fillId="0" borderId="17" xfId="0" applyNumberFormat="1" applyFont="1" applyBorder="1" applyAlignment="1">
      <alignment horizontal="center"/>
    </xf>
    <xf numFmtId="4" fontId="30" fillId="0" borderId="17" xfId="0" applyNumberFormat="1" applyFont="1" applyBorder="1" applyAlignment="1">
      <alignment horizontal="right"/>
    </xf>
    <xf numFmtId="4" fontId="32" fillId="0" borderId="16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/>
    </xf>
    <xf numFmtId="3" fontId="28" fillId="4" borderId="16" xfId="0" applyNumberFormat="1" applyFont="1" applyFill="1" applyBorder="1" applyAlignment="1">
      <alignment horizontal="right"/>
    </xf>
    <xf numFmtId="4" fontId="28" fillId="4" borderId="16" xfId="0" applyNumberFormat="1" applyFont="1" applyFill="1" applyBorder="1" applyAlignment="1">
      <alignment horizontal="right"/>
    </xf>
    <xf numFmtId="0" fontId="28" fillId="4" borderId="16" xfId="0" applyNumberFormat="1" applyFont="1" applyFill="1" applyBorder="1" applyAlignment="1">
      <alignment horizontal="center"/>
    </xf>
    <xf numFmtId="4" fontId="28" fillId="4" borderId="16" xfId="0" applyNumberFormat="1" applyFont="1" applyFill="1" applyBorder="1" applyAlignment="1">
      <alignment horizontal="center"/>
    </xf>
    <xf numFmtId="4" fontId="29" fillId="4" borderId="16" xfId="0" applyNumberFormat="1" applyFont="1" applyFill="1" applyBorder="1" applyAlignment="1">
      <alignment horizontal="center"/>
    </xf>
    <xf numFmtId="4" fontId="28" fillId="4" borderId="13" xfId="0" applyNumberFormat="1" applyFont="1" applyFill="1" applyBorder="1" applyAlignment="1">
      <alignment horizontal="center"/>
    </xf>
    <xf numFmtId="0" fontId="31" fillId="4" borderId="16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3" fontId="31" fillId="0" borderId="0" xfId="0" applyNumberFormat="1" applyFont="1" applyBorder="1" applyAlignment="1">
      <alignment horizontal="right"/>
    </xf>
    <xf numFmtId="2" fontId="25" fillId="0" borderId="0" xfId="0" applyNumberFormat="1" applyFont="1" applyFill="1" applyBorder="1" applyAlignment="1">
      <alignment/>
    </xf>
    <xf numFmtId="0" fontId="24" fillId="7" borderId="17" xfId="0" applyFont="1" applyFill="1" applyBorder="1" applyAlignment="1">
      <alignment horizontal="center" vertical="center"/>
    </xf>
    <xf numFmtId="0" fontId="28" fillId="15" borderId="16" xfId="0" applyNumberFormat="1" applyFont="1" applyFill="1" applyBorder="1" applyAlignment="1">
      <alignment horizontal="right"/>
    </xf>
    <xf numFmtId="4" fontId="28" fillId="15" borderId="13" xfId="0" applyNumberFormat="1" applyFont="1" applyFill="1" applyBorder="1" applyAlignment="1">
      <alignment horizontal="right"/>
    </xf>
    <xf numFmtId="0" fontId="30" fillId="0" borderId="16" xfId="0" applyNumberFormat="1" applyFont="1" applyBorder="1" applyAlignment="1">
      <alignment horizontal="right"/>
    </xf>
    <xf numFmtId="2" fontId="32" fillId="0" borderId="16" xfId="0" applyNumberFormat="1" applyFont="1" applyBorder="1" applyAlignment="1">
      <alignment horizontal="right"/>
    </xf>
    <xf numFmtId="3" fontId="30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" fontId="28" fillId="15" borderId="16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3" fontId="30" fillId="0" borderId="21" xfId="0" applyNumberFormat="1" applyFont="1" applyBorder="1" applyAlignment="1">
      <alignment horizontal="right"/>
    </xf>
    <xf numFmtId="3" fontId="31" fillId="0" borderId="21" xfId="0" applyNumberFormat="1" applyFont="1" applyFill="1" applyBorder="1" applyAlignment="1">
      <alignment horizontal="right"/>
    </xf>
    <xf numFmtId="1" fontId="30" fillId="0" borderId="21" xfId="0" applyNumberFormat="1" applyFont="1" applyBorder="1" applyAlignment="1">
      <alignment horizontal="right"/>
    </xf>
    <xf numFmtId="4" fontId="30" fillId="0" borderId="21" xfId="0" applyNumberFormat="1" applyFont="1" applyBorder="1" applyAlignment="1">
      <alignment horizontal="right"/>
    </xf>
    <xf numFmtId="4" fontId="30" fillId="0" borderId="24" xfId="0" applyNumberFormat="1" applyFont="1" applyBorder="1" applyAlignment="1">
      <alignment horizontal="right"/>
    </xf>
    <xf numFmtId="1" fontId="30" fillId="0" borderId="16" xfId="0" applyNumberFormat="1" applyFont="1" applyBorder="1" applyAlignment="1">
      <alignment horizontal="right"/>
    </xf>
    <xf numFmtId="4" fontId="34" fillId="0" borderId="21" xfId="0" applyNumberFormat="1" applyFont="1" applyBorder="1" applyAlignment="1">
      <alignment horizontal="right"/>
    </xf>
    <xf numFmtId="4" fontId="34" fillId="0" borderId="24" xfId="0" applyNumberFormat="1" applyFont="1" applyBorder="1" applyAlignment="1">
      <alignment horizontal="right"/>
    </xf>
    <xf numFmtId="0" fontId="30" fillId="0" borderId="16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28" fillId="15" borderId="18" xfId="0" applyNumberFormat="1" applyFont="1" applyFill="1" applyBorder="1" applyAlignment="1">
      <alignment horizontal="right"/>
    </xf>
    <xf numFmtId="3" fontId="30" fillId="0" borderId="25" xfId="0" applyNumberFormat="1" applyFont="1" applyFill="1" applyBorder="1" applyAlignment="1">
      <alignment horizontal="right"/>
    </xf>
    <xf numFmtId="3" fontId="31" fillId="0" borderId="25" xfId="0" applyNumberFormat="1" applyFont="1" applyFill="1" applyBorder="1" applyAlignment="1">
      <alignment horizontal="right"/>
    </xf>
    <xf numFmtId="1" fontId="30" fillId="0" borderId="19" xfId="0" applyNumberFormat="1" applyFont="1" applyFill="1" applyBorder="1" applyAlignment="1">
      <alignment horizontal="right"/>
    </xf>
    <xf numFmtId="4" fontId="30" fillId="0" borderId="25" xfId="0" applyNumberFormat="1" applyFont="1" applyFill="1" applyBorder="1" applyAlignment="1">
      <alignment horizontal="right"/>
    </xf>
    <xf numFmtId="4" fontId="30" fillId="0" borderId="16" xfId="0" applyNumberFormat="1" applyFont="1" applyFill="1" applyBorder="1" applyAlignment="1">
      <alignment horizontal="right"/>
    </xf>
    <xf numFmtId="4" fontId="30" fillId="0" borderId="15" xfId="0" applyNumberFormat="1" applyFont="1" applyFill="1" applyBorder="1" applyAlignment="1">
      <alignment horizontal="right"/>
    </xf>
    <xf numFmtId="4" fontId="30" fillId="0" borderId="14" xfId="0" applyNumberFormat="1" applyFont="1" applyFill="1" applyBorder="1" applyAlignment="1">
      <alignment horizontal="right"/>
    </xf>
    <xf numFmtId="0" fontId="30" fillId="0" borderId="18" xfId="0" applyFont="1" applyFill="1" applyBorder="1" applyAlignment="1">
      <alignment/>
    </xf>
    <xf numFmtId="1" fontId="30" fillId="0" borderId="13" xfId="0" applyNumberFormat="1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2" fontId="30" fillId="0" borderId="16" xfId="0" applyNumberFormat="1" applyFont="1" applyFill="1" applyBorder="1" applyAlignment="1">
      <alignment horizontal="right"/>
    </xf>
    <xf numFmtId="0" fontId="30" fillId="0" borderId="22" xfId="0" applyFont="1" applyBorder="1" applyAlignment="1">
      <alignment/>
    </xf>
    <xf numFmtId="3" fontId="31" fillId="0" borderId="17" xfId="0" applyNumberFormat="1" applyFont="1" applyFill="1" applyBorder="1" applyAlignment="1">
      <alignment horizontal="right"/>
    </xf>
    <xf numFmtId="1" fontId="30" fillId="0" borderId="18" xfId="0" applyNumberFormat="1" applyFont="1" applyBorder="1" applyAlignment="1">
      <alignment horizontal="right"/>
    </xf>
    <xf numFmtId="3" fontId="30" fillId="0" borderId="18" xfId="0" applyNumberFormat="1" applyFont="1" applyBorder="1" applyAlignment="1">
      <alignment horizontal="right"/>
    </xf>
    <xf numFmtId="3" fontId="30" fillId="0" borderId="13" xfId="0" applyNumberFormat="1" applyFont="1" applyBorder="1" applyAlignment="1">
      <alignment horizontal="right"/>
    </xf>
    <xf numFmtId="4" fontId="30" fillId="0" borderId="15" xfId="0" applyNumberFormat="1" applyFont="1" applyBorder="1" applyAlignment="1">
      <alignment horizontal="right"/>
    </xf>
    <xf numFmtId="4" fontId="30" fillId="0" borderId="14" xfId="0" applyNumberFormat="1" applyFont="1" applyBorder="1" applyAlignment="1">
      <alignment horizontal="right"/>
    </xf>
    <xf numFmtId="3" fontId="30" fillId="0" borderId="19" xfId="0" applyNumberFormat="1" applyFont="1" applyBorder="1" applyAlignment="1">
      <alignment horizontal="right"/>
    </xf>
    <xf numFmtId="0" fontId="30" fillId="0" borderId="18" xfId="0" applyFont="1" applyBorder="1" applyAlignment="1">
      <alignment/>
    </xf>
    <xf numFmtId="0" fontId="30" fillId="0" borderId="22" xfId="0" applyFont="1" applyBorder="1" applyAlignment="1">
      <alignment/>
    </xf>
    <xf numFmtId="3" fontId="28" fillId="4" borderId="14" xfId="0" applyNumberFormat="1" applyFont="1" applyFill="1" applyBorder="1" applyAlignment="1">
      <alignment horizontal="right"/>
    </xf>
    <xf numFmtId="1" fontId="28" fillId="4" borderId="16" xfId="0" applyNumberFormat="1" applyFont="1" applyFill="1" applyBorder="1" applyAlignment="1">
      <alignment horizontal="right"/>
    </xf>
    <xf numFmtId="4" fontId="28" fillId="4" borderId="15" xfId="0" applyNumberFormat="1" applyFont="1" applyFill="1" applyBorder="1" applyAlignment="1">
      <alignment horizontal="right"/>
    </xf>
    <xf numFmtId="4" fontId="28" fillId="4" borderId="14" xfId="0" applyNumberFormat="1" applyFont="1" applyFill="1" applyBorder="1" applyAlignment="1">
      <alignment horizontal="right"/>
    </xf>
    <xf numFmtId="0" fontId="30" fillId="0" borderId="0" xfId="0" applyFont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0" fontId="0" fillId="8" borderId="0" xfId="0" applyFont="1" applyFill="1" applyBorder="1" applyAlignment="1">
      <alignment/>
    </xf>
    <xf numFmtId="0" fontId="39" fillId="8" borderId="0" xfId="0" applyFont="1" applyFill="1" applyBorder="1" applyAlignment="1">
      <alignment/>
    </xf>
    <xf numFmtId="1" fontId="24" fillId="7" borderId="16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right"/>
    </xf>
    <xf numFmtId="4" fontId="30" fillId="0" borderId="13" xfId="0" applyNumberFormat="1" applyFont="1" applyFill="1" applyBorder="1" applyAlignment="1">
      <alignment horizontal="right"/>
    </xf>
    <xf numFmtId="0" fontId="26" fillId="0" borderId="16" xfId="0" applyFont="1" applyBorder="1" applyAlignment="1">
      <alignment/>
    </xf>
    <xf numFmtId="3" fontId="31" fillId="0" borderId="21" xfId="0" applyNumberFormat="1" applyFont="1" applyBorder="1" applyAlignment="1">
      <alignment horizontal="right"/>
    </xf>
    <xf numFmtId="3" fontId="27" fillId="0" borderId="16" xfId="0" applyNumberFormat="1" applyFont="1" applyFill="1" applyBorder="1" applyAlignment="1">
      <alignment horizontal="right" vertical="top"/>
    </xf>
    <xf numFmtId="3" fontId="27" fillId="0" borderId="0" xfId="0" applyNumberFormat="1" applyFont="1" applyFill="1" applyBorder="1" applyAlignment="1">
      <alignment horizontal="right" vertical="top"/>
    </xf>
    <xf numFmtId="3" fontId="30" fillId="0" borderId="16" xfId="0" applyNumberFormat="1" applyFont="1" applyFill="1" applyBorder="1" applyAlignment="1">
      <alignment/>
    </xf>
    <xf numFmtId="3" fontId="31" fillId="0" borderId="16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3" fontId="30" fillId="0" borderId="17" xfId="0" applyNumberFormat="1" applyFont="1" applyFill="1" applyBorder="1" applyAlignment="1">
      <alignment/>
    </xf>
    <xf numFmtId="3" fontId="31" fillId="0" borderId="17" xfId="0" applyNumberFormat="1" applyFont="1" applyFill="1" applyBorder="1" applyAlignment="1">
      <alignment/>
    </xf>
    <xf numFmtId="1" fontId="30" fillId="0" borderId="17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0" fillId="0" borderId="14" xfId="0" applyNumberFormat="1" applyFont="1" applyBorder="1" applyAlignment="1">
      <alignment horizontal="right"/>
    </xf>
    <xf numFmtId="3" fontId="31" fillId="0" borderId="14" xfId="0" applyNumberFormat="1" applyFont="1" applyBorder="1" applyAlignment="1">
      <alignment horizontal="right"/>
    </xf>
    <xf numFmtId="3" fontId="30" fillId="0" borderId="17" xfId="0" applyNumberFormat="1" applyFont="1" applyBorder="1" applyAlignment="1">
      <alignment/>
    </xf>
    <xf numFmtId="4" fontId="30" fillId="0" borderId="16" xfId="0" applyNumberFormat="1" applyFont="1" applyBorder="1" applyAlignment="1">
      <alignment/>
    </xf>
    <xf numFmtId="4" fontId="30" fillId="0" borderId="17" xfId="0" applyNumberFormat="1" applyFont="1" applyBorder="1" applyAlignment="1">
      <alignment/>
    </xf>
    <xf numFmtId="2" fontId="32" fillId="0" borderId="17" xfId="0" applyNumberFormat="1" applyFont="1" applyBorder="1" applyAlignment="1">
      <alignment/>
    </xf>
    <xf numFmtId="4" fontId="30" fillId="0" borderId="18" xfId="0" applyNumberFormat="1" applyFont="1" applyBorder="1" applyAlignment="1">
      <alignment/>
    </xf>
    <xf numFmtId="4" fontId="30" fillId="0" borderId="0" xfId="0" applyNumberFormat="1" applyFont="1" applyBorder="1" applyAlignment="1">
      <alignment horizontal="right"/>
    </xf>
    <xf numFmtId="3" fontId="31" fillId="15" borderId="16" xfId="0" applyNumberFormat="1" applyFont="1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24" fillId="15" borderId="16" xfId="0" applyNumberFormat="1" applyFont="1" applyFill="1" applyBorder="1" applyAlignment="1">
      <alignment horizontal="right"/>
    </xf>
    <xf numFmtId="1" fontId="30" fillId="15" borderId="16" xfId="0" applyNumberFormat="1" applyFont="1" applyFill="1" applyBorder="1" applyAlignment="1">
      <alignment horizontal="right"/>
    </xf>
    <xf numFmtId="4" fontId="30" fillId="15" borderId="16" xfId="0" applyNumberFormat="1" applyFont="1" applyFill="1" applyBorder="1" applyAlignment="1">
      <alignment horizontal="right"/>
    </xf>
    <xf numFmtId="4" fontId="30" fillId="15" borderId="13" xfId="0" applyNumberFormat="1" applyFont="1" applyFill="1" applyBorder="1" applyAlignment="1">
      <alignment horizontal="right"/>
    </xf>
    <xf numFmtId="3" fontId="32" fillId="0" borderId="17" xfId="0" applyNumberFormat="1" applyFont="1" applyBorder="1" applyAlignment="1">
      <alignment/>
    </xf>
    <xf numFmtId="0" fontId="26" fillId="0" borderId="16" xfId="0" applyFont="1" applyFill="1" applyBorder="1" applyAlignment="1">
      <alignment/>
    </xf>
    <xf numFmtId="4" fontId="40" fillId="0" borderId="16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3" fontId="28" fillId="4" borderId="17" xfId="0" applyNumberFormat="1" applyFont="1" applyFill="1" applyBorder="1" applyAlignment="1">
      <alignment horizontal="right"/>
    </xf>
    <xf numFmtId="4" fontId="28" fillId="4" borderId="17" xfId="0" applyNumberFormat="1" applyFont="1" applyFill="1" applyBorder="1" applyAlignment="1">
      <alignment horizontal="right"/>
    </xf>
    <xf numFmtId="4" fontId="28" fillId="4" borderId="18" xfId="0" applyNumberFormat="1" applyFont="1" applyFill="1" applyBorder="1" applyAlignment="1">
      <alignment horizontal="right"/>
    </xf>
    <xf numFmtId="0" fontId="24" fillId="3" borderId="26" xfId="0" applyFont="1" applyFill="1" applyBorder="1" applyAlignment="1">
      <alignment/>
    </xf>
    <xf numFmtId="0" fontId="24" fillId="3" borderId="27" xfId="0" applyFont="1" applyFill="1" applyBorder="1" applyAlignment="1">
      <alignment/>
    </xf>
    <xf numFmtId="0" fontId="24" fillId="3" borderId="28" xfId="0" applyFont="1" applyFill="1" applyBorder="1" applyAlignment="1">
      <alignment/>
    </xf>
    <xf numFmtId="3" fontId="31" fillId="3" borderId="29" xfId="0" applyNumberFormat="1" applyFont="1" applyFill="1" applyBorder="1" applyAlignment="1">
      <alignment horizontal="right"/>
    </xf>
    <xf numFmtId="3" fontId="31" fillId="3" borderId="26" xfId="0" applyNumberFormat="1" applyFont="1" applyFill="1" applyBorder="1" applyAlignment="1">
      <alignment horizontal="right"/>
    </xf>
    <xf numFmtId="3" fontId="31" fillId="3" borderId="16" xfId="0" applyNumberFormat="1" applyFont="1" applyFill="1" applyBorder="1" applyAlignment="1">
      <alignment horizontal="right"/>
    </xf>
    <xf numFmtId="4" fontId="31" fillId="3" borderId="29" xfId="0" applyNumberFormat="1" applyFont="1" applyFill="1" applyBorder="1" applyAlignment="1">
      <alignment horizontal="right"/>
    </xf>
    <xf numFmtId="4" fontId="31" fillId="3" borderId="26" xfId="0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right"/>
    </xf>
    <xf numFmtId="0" fontId="24" fillId="7" borderId="14" xfId="0" applyFont="1" applyFill="1" applyBorder="1" applyAlignment="1">
      <alignment vertical="top"/>
    </xf>
    <xf numFmtId="0" fontId="24" fillId="7" borderId="15" xfId="0" applyFont="1" applyFill="1" applyBorder="1" applyAlignment="1">
      <alignment horizontal="center"/>
    </xf>
    <xf numFmtId="1" fontId="24" fillId="7" borderId="17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/>
    </xf>
    <xf numFmtId="0" fontId="30" fillId="0" borderId="16" xfId="0" applyFont="1" applyBorder="1" applyAlignment="1">
      <alignment horizontal="right"/>
    </xf>
    <xf numFmtId="0" fontId="31" fillId="0" borderId="16" xfId="0" applyFont="1" applyBorder="1" applyAlignment="1">
      <alignment horizontal="right"/>
    </xf>
    <xf numFmtId="0" fontId="30" fillId="0" borderId="17" xfId="0" applyFont="1" applyBorder="1" applyAlignment="1">
      <alignment/>
    </xf>
    <xf numFmtId="0" fontId="30" fillId="0" borderId="23" xfId="0" applyFont="1" applyBorder="1" applyAlignment="1">
      <alignment horizontal="left"/>
    </xf>
    <xf numFmtId="3" fontId="31" fillId="0" borderId="17" xfId="0" applyNumberFormat="1" applyFont="1" applyBorder="1" applyAlignment="1">
      <alignment/>
    </xf>
    <xf numFmtId="3" fontId="28" fillId="4" borderId="16" xfId="0" applyNumberFormat="1" applyFont="1" applyFill="1" applyBorder="1" applyAlignment="1">
      <alignment/>
    </xf>
    <xf numFmtId="4" fontId="28" fillId="4" borderId="16" xfId="0" applyNumberFormat="1" applyFont="1" applyFill="1" applyBorder="1" applyAlignment="1">
      <alignment/>
    </xf>
    <xf numFmtId="0" fontId="28" fillId="4" borderId="16" xfId="0" applyFont="1" applyFill="1" applyBorder="1" applyAlignment="1">
      <alignment/>
    </xf>
    <xf numFmtId="3" fontId="27" fillId="4" borderId="16" xfId="0" applyNumberFormat="1" applyFont="1" applyFill="1" applyBorder="1" applyAlignment="1">
      <alignment/>
    </xf>
    <xf numFmtId="4" fontId="27" fillId="4" borderId="16" xfId="0" applyNumberFormat="1" applyFont="1" applyFill="1" applyBorder="1" applyAlignment="1">
      <alignment/>
    </xf>
    <xf numFmtId="0" fontId="27" fillId="4" borderId="16" xfId="0" applyFont="1" applyFill="1" applyBorder="1" applyAlignment="1">
      <alignment/>
    </xf>
    <xf numFmtId="4" fontId="27" fillId="4" borderId="13" xfId="0" applyNumberFormat="1" applyFont="1" applyFill="1" applyBorder="1" applyAlignment="1">
      <alignment/>
    </xf>
    <xf numFmtId="0" fontId="30" fillId="0" borderId="0" xfId="0" applyFont="1" applyBorder="1" applyAlignment="1">
      <alignment horizontal="left"/>
    </xf>
    <xf numFmtId="4" fontId="30" fillId="0" borderId="13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" fontId="30" fillId="0" borderId="25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4" fontId="30" fillId="0" borderId="25" xfId="0" applyNumberFormat="1" applyFont="1" applyBorder="1" applyAlignment="1">
      <alignment/>
    </xf>
    <xf numFmtId="1" fontId="30" fillId="0" borderId="17" xfId="0" applyNumberFormat="1" applyFont="1" applyBorder="1" applyAlignment="1">
      <alignment/>
    </xf>
    <xf numFmtId="0" fontId="30" fillId="0" borderId="21" xfId="0" applyFont="1" applyBorder="1" applyAlignment="1">
      <alignment/>
    </xf>
    <xf numFmtId="3" fontId="33" fillId="0" borderId="16" xfId="0" applyNumberFormat="1" applyFont="1" applyBorder="1" applyAlignment="1">
      <alignment/>
    </xf>
    <xf numFmtId="4" fontId="30" fillId="0" borderId="21" xfId="0" applyNumberFormat="1" applyFont="1" applyBorder="1" applyAlignment="1">
      <alignment/>
    </xf>
    <xf numFmtId="4" fontId="30" fillId="0" borderId="19" xfId="0" applyNumberFormat="1" applyFont="1" applyBorder="1" applyAlignment="1">
      <alignment/>
    </xf>
    <xf numFmtId="0" fontId="30" fillId="0" borderId="25" xfId="0" applyFont="1" applyBorder="1" applyAlignment="1">
      <alignment/>
    </xf>
    <xf numFmtId="3" fontId="28" fillId="4" borderId="17" xfId="0" applyNumberFormat="1" applyFont="1" applyFill="1" applyBorder="1" applyAlignment="1">
      <alignment/>
    </xf>
    <xf numFmtId="4" fontId="28" fillId="4" borderId="17" xfId="0" applyNumberFormat="1" applyFont="1" applyFill="1" applyBorder="1" applyAlignment="1">
      <alignment/>
    </xf>
    <xf numFmtId="4" fontId="28" fillId="4" borderId="18" xfId="0" applyNumberFormat="1" applyFont="1" applyFill="1" applyBorder="1" applyAlignment="1">
      <alignment/>
    </xf>
    <xf numFmtId="0" fontId="0" fillId="3" borderId="27" xfId="0" applyFont="1" applyFill="1" applyBorder="1" applyAlignment="1">
      <alignment/>
    </xf>
    <xf numFmtId="3" fontId="31" fillId="3" borderId="29" xfId="0" applyNumberFormat="1" applyFont="1" applyFill="1" applyBorder="1" applyAlignment="1">
      <alignment/>
    </xf>
    <xf numFmtId="4" fontId="31" fillId="3" borderId="29" xfId="0" applyNumberFormat="1" applyFont="1" applyFill="1" applyBorder="1" applyAlignment="1">
      <alignment/>
    </xf>
    <xf numFmtId="2" fontId="31" fillId="3" borderId="29" xfId="0" applyNumberFormat="1" applyFont="1" applyFill="1" applyBorder="1" applyAlignment="1">
      <alignment/>
    </xf>
    <xf numFmtId="4" fontId="31" fillId="3" borderId="26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16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3" fontId="30" fillId="0" borderId="21" xfId="0" applyNumberFormat="1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17" xfId="0" applyFont="1" applyBorder="1" applyAlignment="1">
      <alignment horizontal="right"/>
    </xf>
    <xf numFmtId="0" fontId="30" fillId="0" borderId="17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3" fontId="30" fillId="0" borderId="25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27" fillId="4" borderId="13" xfId="0" applyFont="1" applyFill="1" applyBorder="1" applyAlignment="1">
      <alignment/>
    </xf>
    <xf numFmtId="0" fontId="27" fillId="4" borderId="14" xfId="0" applyFont="1" applyFill="1" applyBorder="1" applyAlignment="1">
      <alignment/>
    </xf>
    <xf numFmtId="0" fontId="27" fillId="4" borderId="15" xfId="0" applyFont="1" applyFill="1" applyBorder="1" applyAlignment="1">
      <alignment/>
    </xf>
    <xf numFmtId="3" fontId="31" fillId="4" borderId="16" xfId="0" applyNumberFormat="1" applyFont="1" applyFill="1" applyBorder="1" applyAlignment="1">
      <alignment horizontal="right"/>
    </xf>
    <xf numFmtId="0" fontId="28" fillId="4" borderId="13" xfId="0" applyFont="1" applyFill="1" applyBorder="1" applyAlignment="1">
      <alignment/>
    </xf>
    <xf numFmtId="0" fontId="31" fillId="0" borderId="16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4" fillId="4" borderId="0" xfId="0" applyFont="1" applyFill="1" applyBorder="1" applyAlignment="1">
      <alignment/>
    </xf>
    <xf numFmtId="0" fontId="31" fillId="4" borderId="0" xfId="0" applyFont="1" applyFill="1" applyBorder="1" applyAlignment="1">
      <alignment horizontal="left"/>
    </xf>
    <xf numFmtId="2" fontId="31" fillId="4" borderId="0" xfId="0" applyNumberFormat="1" applyFont="1" applyFill="1" applyBorder="1" applyAlignment="1">
      <alignment horizontal="center"/>
    </xf>
    <xf numFmtId="3" fontId="24" fillId="4" borderId="0" xfId="0" applyNumberFormat="1" applyFont="1" applyFill="1" applyBorder="1" applyAlignment="1">
      <alignment/>
    </xf>
    <xf numFmtId="0" fontId="24" fillId="7" borderId="13" xfId="0" applyFont="1" applyFill="1" applyBorder="1" applyAlignment="1">
      <alignment horizontal="justify" vertical="center"/>
    </xf>
    <xf numFmtId="0" fontId="24" fillId="7" borderId="15" xfId="0" applyFont="1" applyFill="1" applyBorder="1" applyAlignment="1">
      <alignment horizontal="justify" vertical="center"/>
    </xf>
    <xf numFmtId="3" fontId="30" fillId="0" borderId="16" xfId="0" applyNumberFormat="1" applyFont="1" applyBorder="1" applyAlignment="1">
      <alignment horizontal="left"/>
    </xf>
    <xf numFmtId="3" fontId="31" fillId="0" borderId="16" xfId="0" applyNumberFormat="1" applyFont="1" applyBorder="1" applyAlignment="1">
      <alignment horizontal="left"/>
    </xf>
    <xf numFmtId="4" fontId="30" fillId="0" borderId="16" xfId="0" applyNumberFormat="1" applyFont="1" applyFill="1" applyBorder="1" applyAlignment="1">
      <alignment/>
    </xf>
    <xf numFmtId="4" fontId="33" fillId="0" borderId="16" xfId="0" applyNumberFormat="1" applyFont="1" applyBorder="1" applyAlignment="1">
      <alignment/>
    </xf>
    <xf numFmtId="4" fontId="30" fillId="0" borderId="13" xfId="0" applyNumberFormat="1" applyFont="1" applyFill="1" applyBorder="1" applyAlignment="1">
      <alignment/>
    </xf>
    <xf numFmtId="3" fontId="30" fillId="0" borderId="17" xfId="0" applyNumberFormat="1" applyFont="1" applyBorder="1" applyAlignment="1">
      <alignment horizontal="left"/>
    </xf>
    <xf numFmtId="3" fontId="31" fillId="0" borderId="17" xfId="0" applyNumberFormat="1" applyFont="1" applyBorder="1" applyAlignment="1">
      <alignment horizontal="left"/>
    </xf>
    <xf numFmtId="3" fontId="30" fillId="0" borderId="23" xfId="0" applyNumberFormat="1" applyFont="1" applyBorder="1" applyAlignment="1">
      <alignment horizontal="right"/>
    </xf>
    <xf numFmtId="3" fontId="30" fillId="0" borderId="19" xfId="0" applyNumberFormat="1" applyFont="1" applyBorder="1" applyAlignment="1">
      <alignment/>
    </xf>
    <xf numFmtId="4" fontId="29" fillId="4" borderId="17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0" fillId="3" borderId="0" xfId="0" applyFont="1" applyFill="1" applyBorder="1" applyAlignment="1">
      <alignment/>
    </xf>
    <xf numFmtId="2" fontId="30" fillId="3" borderId="0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30" fillId="0" borderId="18" xfId="0" applyNumberFormat="1" applyFont="1" applyBorder="1" applyAlignment="1">
      <alignment/>
    </xf>
    <xf numFmtId="0" fontId="30" fillId="3" borderId="29" xfId="0" applyFont="1" applyFill="1" applyBorder="1" applyAlignment="1">
      <alignment/>
    </xf>
    <xf numFmtId="3" fontId="32" fillId="3" borderId="29" xfId="0" applyNumberFormat="1" applyFont="1" applyFill="1" applyBorder="1" applyAlignment="1">
      <alignment/>
    </xf>
    <xf numFmtId="0" fontId="31" fillId="3" borderId="29" xfId="0" applyFont="1" applyFill="1" applyBorder="1" applyAlignment="1">
      <alignment/>
    </xf>
    <xf numFmtId="3" fontId="31" fillId="3" borderId="26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32" fillId="0" borderId="17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4" fontId="33" fillId="0" borderId="17" xfId="0" applyNumberFormat="1" applyFont="1" applyBorder="1" applyAlignment="1">
      <alignment/>
    </xf>
    <xf numFmtId="3" fontId="32" fillId="0" borderId="16" xfId="0" applyNumberFormat="1" applyFont="1" applyBorder="1" applyAlignment="1">
      <alignment/>
    </xf>
    <xf numFmtId="3" fontId="32" fillId="0" borderId="21" xfId="0" applyNumberFormat="1" applyFont="1" applyBorder="1" applyAlignment="1">
      <alignment/>
    </xf>
    <xf numFmtId="4" fontId="30" fillId="0" borderId="24" xfId="0" applyNumberFormat="1" applyFont="1" applyBorder="1" applyAlignment="1">
      <alignment/>
    </xf>
    <xf numFmtId="0" fontId="42" fillId="4" borderId="13" xfId="0" applyFont="1" applyFill="1" applyBorder="1" applyAlignment="1">
      <alignment/>
    </xf>
    <xf numFmtId="0" fontId="43" fillId="4" borderId="14" xfId="0" applyFont="1" applyFill="1" applyBorder="1" applyAlignment="1">
      <alignment/>
    </xf>
    <xf numFmtId="0" fontId="43" fillId="4" borderId="15" xfId="0" applyFont="1" applyFill="1" applyBorder="1" applyAlignment="1">
      <alignment/>
    </xf>
    <xf numFmtId="3" fontId="31" fillId="4" borderId="21" xfId="0" applyNumberFormat="1" applyFont="1" applyFill="1" applyBorder="1" applyAlignment="1">
      <alignment/>
    </xf>
    <xf numFmtId="3" fontId="37" fillId="4" borderId="21" xfId="0" applyNumberFormat="1" applyFont="1" applyFill="1" applyBorder="1" applyAlignment="1">
      <alignment/>
    </xf>
    <xf numFmtId="4" fontId="31" fillId="4" borderId="21" xfId="0" applyNumberFormat="1" applyFont="1" applyFill="1" applyBorder="1" applyAlignment="1">
      <alignment/>
    </xf>
    <xf numFmtId="4" fontId="41" fillId="4" borderId="21" xfId="0" applyNumberFormat="1" applyFont="1" applyFill="1" applyBorder="1" applyAlignment="1">
      <alignment/>
    </xf>
    <xf numFmtId="4" fontId="31" fillId="4" borderId="24" xfId="0" applyNumberFormat="1" applyFont="1" applyFill="1" applyBorder="1" applyAlignment="1">
      <alignment/>
    </xf>
    <xf numFmtId="0" fontId="44" fillId="0" borderId="0" xfId="584" applyFont="1" applyAlignment="1">
      <alignment horizontal="center"/>
      <protection/>
    </xf>
    <xf numFmtId="0" fontId="1" fillId="0" borderId="0" xfId="584" applyAlignment="1">
      <alignment horizontal="center"/>
      <protection/>
    </xf>
    <xf numFmtId="0" fontId="1" fillId="0" borderId="0" xfId="584">
      <alignment/>
      <protection/>
    </xf>
    <xf numFmtId="0" fontId="1" fillId="0" borderId="0" xfId="584" applyBorder="1">
      <alignment/>
      <protection/>
    </xf>
    <xf numFmtId="164" fontId="1" fillId="0" borderId="0" xfId="584" applyNumberFormat="1">
      <alignment/>
      <protection/>
    </xf>
    <xf numFmtId="3" fontId="1" fillId="0" borderId="0" xfId="584" applyNumberFormat="1">
      <alignment/>
      <protection/>
    </xf>
    <xf numFmtId="0" fontId="45" fillId="0" borderId="0" xfId="584" applyFont="1">
      <alignment/>
      <protection/>
    </xf>
    <xf numFmtId="164" fontId="46" fillId="0" borderId="0" xfId="584" applyNumberFormat="1" applyFont="1">
      <alignment/>
      <protection/>
    </xf>
    <xf numFmtId="3" fontId="1" fillId="0" borderId="0" xfId="584" applyNumberFormat="1" applyFont="1">
      <alignment/>
      <protection/>
    </xf>
    <xf numFmtId="0" fontId="47" fillId="0" borderId="0" xfId="584" applyFont="1" applyFill="1" applyBorder="1" applyAlignment="1">
      <alignment horizontal="center"/>
      <protection/>
    </xf>
    <xf numFmtId="0" fontId="33" fillId="0" borderId="0" xfId="584" applyFont="1" applyFill="1" applyBorder="1" applyAlignment="1">
      <alignment horizontal="center"/>
      <protection/>
    </xf>
    <xf numFmtId="49" fontId="33" fillId="0" borderId="0" xfId="584" applyNumberFormat="1" applyFont="1" applyFill="1" applyBorder="1" applyAlignment="1">
      <alignment horizontal="center"/>
      <protection/>
    </xf>
    <xf numFmtId="0" fontId="33" fillId="0" borderId="0" xfId="584" applyFont="1" applyFill="1" applyBorder="1">
      <alignment/>
      <protection/>
    </xf>
    <xf numFmtId="0" fontId="30" fillId="0" borderId="0" xfId="584" applyFont="1" applyFill="1" applyBorder="1">
      <alignment/>
      <protection/>
    </xf>
    <xf numFmtId="3" fontId="46" fillId="0" borderId="0" xfId="584" applyNumberFormat="1" applyFont="1">
      <alignment/>
      <protection/>
    </xf>
    <xf numFmtId="0" fontId="44" fillId="9" borderId="29" xfId="584" applyFont="1" applyFill="1" applyBorder="1" applyAlignment="1">
      <alignment horizontal="center"/>
      <protection/>
    </xf>
    <xf numFmtId="0" fontId="45" fillId="9" borderId="30" xfId="584" applyFont="1" applyFill="1" applyBorder="1" applyAlignment="1">
      <alignment horizontal="left"/>
      <protection/>
    </xf>
    <xf numFmtId="49" fontId="47" fillId="9" borderId="27" xfId="584" applyNumberFormat="1" applyFont="1" applyFill="1" applyBorder="1" applyAlignment="1">
      <alignment horizontal="center"/>
      <protection/>
    </xf>
    <xf numFmtId="0" fontId="1" fillId="9" borderId="27" xfId="584" applyFont="1" applyFill="1" applyBorder="1">
      <alignment/>
      <protection/>
    </xf>
    <xf numFmtId="0" fontId="1" fillId="9" borderId="28" xfId="584" applyFont="1" applyFill="1" applyBorder="1">
      <alignment/>
      <protection/>
    </xf>
    <xf numFmtId="0" fontId="1" fillId="9" borderId="26" xfId="584" applyFont="1" applyFill="1" applyBorder="1" applyAlignment="1">
      <alignment vertical="center"/>
      <protection/>
    </xf>
    <xf numFmtId="0" fontId="44" fillId="9" borderId="31" xfId="584" applyFont="1" applyFill="1" applyBorder="1" applyAlignment="1">
      <alignment horizontal="center"/>
      <protection/>
    </xf>
    <xf numFmtId="0" fontId="44" fillId="9" borderId="20" xfId="584" applyFont="1" applyFill="1" applyBorder="1" applyAlignment="1">
      <alignment horizontal="center"/>
      <protection/>
    </xf>
    <xf numFmtId="49" fontId="44" fillId="9" borderId="20" xfId="584" applyNumberFormat="1" applyFont="1" applyFill="1" applyBorder="1" applyAlignment="1">
      <alignment horizontal="center"/>
      <protection/>
    </xf>
    <xf numFmtId="0" fontId="48" fillId="9" borderId="32" xfId="584" applyFont="1" applyFill="1" applyBorder="1" applyAlignment="1">
      <alignment/>
      <protection/>
    </xf>
    <xf numFmtId="0" fontId="48" fillId="9" borderId="33" xfId="584" applyFont="1" applyFill="1" applyBorder="1" applyAlignment="1">
      <alignment horizontal="center"/>
      <protection/>
    </xf>
    <xf numFmtId="0" fontId="48" fillId="9" borderId="34" xfId="584" applyFont="1" applyFill="1" applyBorder="1" applyAlignment="1">
      <alignment horizontal="center"/>
      <protection/>
    </xf>
    <xf numFmtId="164" fontId="1" fillId="9" borderId="35" xfId="584" applyNumberFormat="1" applyFont="1" applyFill="1" applyBorder="1" applyAlignment="1">
      <alignment horizontal="center"/>
      <protection/>
    </xf>
    <xf numFmtId="164" fontId="1" fillId="9" borderId="36" xfId="584" applyNumberFormat="1" applyFont="1" applyFill="1" applyBorder="1" applyAlignment="1">
      <alignment horizontal="center"/>
      <protection/>
    </xf>
    <xf numFmtId="164" fontId="1" fillId="9" borderId="37" xfId="584" applyNumberFormat="1" applyFont="1" applyFill="1" applyBorder="1" applyAlignment="1">
      <alignment horizontal="center"/>
      <protection/>
    </xf>
    <xf numFmtId="1" fontId="1" fillId="9" borderId="35" xfId="584" applyNumberFormat="1" applyFont="1" applyFill="1" applyBorder="1" applyAlignment="1">
      <alignment horizontal="center" vertical="center"/>
      <protection/>
    </xf>
    <xf numFmtId="1" fontId="1" fillId="9" borderId="38" xfId="584" applyNumberFormat="1" applyFont="1" applyFill="1" applyBorder="1" applyAlignment="1">
      <alignment horizontal="center" vertical="center"/>
      <protection/>
    </xf>
    <xf numFmtId="1" fontId="1" fillId="9" borderId="39" xfId="584" applyNumberFormat="1" applyFont="1" applyFill="1" applyBorder="1" applyAlignment="1">
      <alignment horizontal="center" vertical="center"/>
      <protection/>
    </xf>
    <xf numFmtId="0" fontId="44" fillId="0" borderId="40" xfId="584" applyFont="1" applyBorder="1" applyAlignment="1">
      <alignment horizontal="center"/>
      <protection/>
    </xf>
    <xf numFmtId="0" fontId="49" fillId="7" borderId="41" xfId="584" applyFont="1" applyFill="1" applyBorder="1" applyAlignment="1">
      <alignment horizontal="left" vertical="center"/>
      <protection/>
    </xf>
    <xf numFmtId="0" fontId="49" fillId="7" borderId="41" xfId="584" applyFont="1" applyFill="1" applyBorder="1" applyAlignment="1">
      <alignment vertical="center"/>
      <protection/>
    </xf>
    <xf numFmtId="0" fontId="49" fillId="7" borderId="41" xfId="584" applyFont="1" applyFill="1" applyBorder="1" applyAlignment="1">
      <alignment/>
      <protection/>
    </xf>
    <xf numFmtId="0" fontId="49" fillId="7" borderId="42" xfId="584" applyFont="1" applyFill="1" applyBorder="1" applyAlignment="1">
      <alignment/>
      <protection/>
    </xf>
    <xf numFmtId="164" fontId="49" fillId="7" borderId="32" xfId="584" applyNumberFormat="1" applyFont="1" applyFill="1" applyBorder="1" applyAlignment="1">
      <alignment/>
      <protection/>
    </xf>
    <xf numFmtId="3" fontId="49" fillId="7" borderId="34" xfId="584" applyNumberFormat="1" applyFont="1" applyFill="1" applyBorder="1" applyAlignment="1">
      <alignment/>
      <protection/>
    </xf>
    <xf numFmtId="4" fontId="49" fillId="7" borderId="34" xfId="584" applyNumberFormat="1" applyFont="1" applyFill="1" applyBorder="1" applyAlignment="1">
      <alignment horizontal="center"/>
      <protection/>
    </xf>
    <xf numFmtId="0" fontId="44" fillId="0" borderId="31" xfId="584" applyFont="1" applyBorder="1" applyAlignment="1">
      <alignment horizontal="center"/>
      <protection/>
    </xf>
    <xf numFmtId="0" fontId="50" fillId="7" borderId="20" xfId="584" applyFont="1" applyFill="1" applyBorder="1">
      <alignment/>
      <protection/>
    </xf>
    <xf numFmtId="0" fontId="50" fillId="7" borderId="43" xfId="584" applyFont="1" applyFill="1" applyBorder="1">
      <alignment/>
      <protection/>
    </xf>
    <xf numFmtId="0" fontId="44" fillId="7" borderId="0" xfId="584" applyFont="1" applyFill="1" applyBorder="1" applyAlignment="1">
      <alignment/>
      <protection/>
    </xf>
    <xf numFmtId="0" fontId="50" fillId="7" borderId="0" xfId="584" applyFont="1" applyFill="1" applyBorder="1">
      <alignment/>
      <protection/>
    </xf>
    <xf numFmtId="0" fontId="50" fillId="7" borderId="44" xfId="584" applyFont="1" applyFill="1" applyBorder="1">
      <alignment/>
      <protection/>
    </xf>
    <xf numFmtId="164" fontId="51" fillId="7" borderId="45" xfId="584" applyNumberFormat="1" applyFont="1" applyFill="1" applyBorder="1" applyAlignment="1">
      <alignment/>
      <protection/>
    </xf>
    <xf numFmtId="3" fontId="52" fillId="7" borderId="31" xfId="584" applyNumberFormat="1" applyFont="1" applyFill="1" applyBorder="1" applyAlignment="1">
      <alignment/>
      <protection/>
    </xf>
    <xf numFmtId="4" fontId="52" fillId="7" borderId="31" xfId="584" applyNumberFormat="1" applyFont="1" applyFill="1" applyBorder="1" applyAlignment="1">
      <alignment horizontal="center"/>
      <protection/>
    </xf>
    <xf numFmtId="0" fontId="50" fillId="7" borderId="46" xfId="584" applyFont="1" applyFill="1" applyBorder="1">
      <alignment/>
      <protection/>
    </xf>
    <xf numFmtId="0" fontId="50" fillId="7" borderId="47" xfId="584" applyFont="1" applyFill="1" applyBorder="1">
      <alignment/>
      <protection/>
    </xf>
    <xf numFmtId="0" fontId="44" fillId="7" borderId="48" xfId="584" applyFont="1" applyFill="1" applyBorder="1" applyAlignment="1">
      <alignment/>
      <protection/>
    </xf>
    <xf numFmtId="0" fontId="50" fillId="7" borderId="48" xfId="584" applyFont="1" applyFill="1" applyBorder="1">
      <alignment/>
      <protection/>
    </xf>
    <xf numFmtId="0" fontId="50" fillId="7" borderId="49" xfId="584" applyFont="1" applyFill="1" applyBorder="1">
      <alignment/>
      <protection/>
    </xf>
    <xf numFmtId="164" fontId="51" fillId="7" borderId="50" xfId="584" applyNumberFormat="1" applyFont="1" applyFill="1" applyBorder="1" applyAlignment="1">
      <alignment/>
      <protection/>
    </xf>
    <xf numFmtId="3" fontId="52" fillId="7" borderId="51" xfId="584" applyNumberFormat="1" applyFont="1" applyFill="1" applyBorder="1" applyAlignment="1">
      <alignment/>
      <protection/>
    </xf>
    <xf numFmtId="4" fontId="52" fillId="7" borderId="51" xfId="584" applyNumberFormat="1" applyFont="1" applyFill="1" applyBorder="1" applyAlignment="1">
      <alignment horizontal="center"/>
      <protection/>
    </xf>
    <xf numFmtId="0" fontId="51" fillId="10" borderId="20" xfId="584" applyFont="1" applyFill="1" applyBorder="1" applyAlignment="1">
      <alignment horizontal="center"/>
      <protection/>
    </xf>
    <xf numFmtId="0" fontId="53" fillId="10" borderId="20" xfId="584" applyFont="1" applyFill="1" applyBorder="1" applyAlignment="1">
      <alignment/>
      <protection/>
    </xf>
    <xf numFmtId="0" fontId="44" fillId="10" borderId="0" xfId="584" applyFont="1" applyFill="1" applyBorder="1" applyAlignment="1">
      <alignment/>
      <protection/>
    </xf>
    <xf numFmtId="0" fontId="44" fillId="10" borderId="44" xfId="584" applyFont="1" applyFill="1" applyBorder="1" applyAlignment="1">
      <alignment/>
      <protection/>
    </xf>
    <xf numFmtId="164" fontId="52" fillId="10" borderId="45" xfId="584" applyNumberFormat="1" applyFont="1" applyFill="1" applyBorder="1" applyAlignment="1">
      <alignment/>
      <protection/>
    </xf>
    <xf numFmtId="3" fontId="52" fillId="10" borderId="40" xfId="584" applyNumberFormat="1" applyFont="1" applyFill="1" applyBorder="1" applyAlignment="1">
      <alignment/>
      <protection/>
    </xf>
    <xf numFmtId="3" fontId="52" fillId="10" borderId="31" xfId="584" applyNumberFormat="1" applyFont="1" applyFill="1" applyBorder="1" applyAlignment="1">
      <alignment/>
      <protection/>
    </xf>
    <xf numFmtId="4" fontId="52" fillId="10" borderId="31" xfId="584" applyNumberFormat="1" applyFont="1" applyFill="1" applyBorder="1" applyAlignment="1">
      <alignment horizontal="center"/>
      <protection/>
    </xf>
    <xf numFmtId="0" fontId="54" fillId="0" borderId="20" xfId="584" applyFont="1" applyFill="1" applyBorder="1" applyAlignment="1">
      <alignment horizontal="center"/>
      <protection/>
    </xf>
    <xf numFmtId="49" fontId="50" fillId="3" borderId="0" xfId="584" applyNumberFormat="1" applyFont="1" applyFill="1" applyBorder="1" applyAlignment="1">
      <alignment horizontal="left"/>
      <protection/>
    </xf>
    <xf numFmtId="0" fontId="55" fillId="3" borderId="0" xfId="584" applyFont="1" applyFill="1" applyBorder="1">
      <alignment/>
      <protection/>
    </xf>
    <xf numFmtId="0" fontId="44" fillId="3" borderId="0" xfId="584" applyFont="1" applyFill="1" applyBorder="1">
      <alignment/>
      <protection/>
    </xf>
    <xf numFmtId="0" fontId="50" fillId="3" borderId="44" xfId="584" applyFont="1" applyFill="1" applyBorder="1">
      <alignment/>
      <protection/>
    </xf>
    <xf numFmtId="164" fontId="50" fillId="3" borderId="45" xfId="584" applyNumberFormat="1" applyFont="1" applyFill="1" applyBorder="1" applyAlignment="1">
      <alignment horizontal="right"/>
      <protection/>
    </xf>
    <xf numFmtId="3" fontId="50" fillId="3" borderId="31" xfId="584" applyNumberFormat="1" applyFont="1" applyFill="1" applyBorder="1" applyAlignment="1">
      <alignment horizontal="right"/>
      <protection/>
    </xf>
    <xf numFmtId="4" fontId="50" fillId="3" borderId="31" xfId="584" applyNumberFormat="1" applyFont="1" applyFill="1" applyBorder="1" applyAlignment="1">
      <alignment horizontal="center"/>
      <protection/>
    </xf>
    <xf numFmtId="0" fontId="44" fillId="0" borderId="0" xfId="584" applyFont="1" applyFill="1">
      <alignment/>
      <protection/>
    </xf>
    <xf numFmtId="0" fontId="51" fillId="0" borderId="20" xfId="584" applyFont="1" applyFill="1" applyBorder="1" applyAlignment="1">
      <alignment horizontal="center"/>
      <protection/>
    </xf>
    <xf numFmtId="0" fontId="53" fillId="0" borderId="0" xfId="584" applyFont="1" applyFill="1" applyBorder="1" applyAlignment="1">
      <alignment/>
      <protection/>
    </xf>
    <xf numFmtId="0" fontId="1" fillId="7" borderId="0" xfId="584" applyFont="1" applyFill="1" applyBorder="1">
      <alignment/>
      <protection/>
    </xf>
    <xf numFmtId="0" fontId="1" fillId="7" borderId="44" xfId="584" applyFont="1" applyFill="1" applyBorder="1">
      <alignment/>
      <protection/>
    </xf>
    <xf numFmtId="164" fontId="50" fillId="7" borderId="45" xfId="584" applyNumberFormat="1" applyFont="1" applyFill="1" applyBorder="1">
      <alignment/>
      <protection/>
    </xf>
    <xf numFmtId="3" fontId="50" fillId="7" borderId="31" xfId="584" applyNumberFormat="1" applyFont="1" applyFill="1" applyBorder="1">
      <alignment/>
      <protection/>
    </xf>
    <xf numFmtId="4" fontId="50" fillId="7" borderId="31" xfId="584" applyNumberFormat="1" applyFont="1" applyFill="1" applyBorder="1" applyAlignment="1">
      <alignment horizontal="center"/>
      <protection/>
    </xf>
    <xf numFmtId="0" fontId="44" fillId="0" borderId="0" xfId="584" applyFont="1" applyBorder="1" applyAlignment="1">
      <alignment horizontal="center"/>
      <protection/>
    </xf>
    <xf numFmtId="49" fontId="51" fillId="15" borderId="25" xfId="584" applyNumberFormat="1" applyFont="1" applyFill="1" applyBorder="1" applyAlignment="1">
      <alignment horizontal="center"/>
      <protection/>
    </xf>
    <xf numFmtId="49" fontId="52" fillId="15" borderId="13" xfId="584" applyNumberFormat="1" applyFont="1" applyFill="1" applyBorder="1" applyAlignment="1">
      <alignment horizontal="left"/>
      <protection/>
    </xf>
    <xf numFmtId="0" fontId="52" fillId="15" borderId="14" xfId="584" applyFont="1" applyFill="1" applyBorder="1">
      <alignment/>
      <protection/>
    </xf>
    <xf numFmtId="0" fontId="52" fillId="15" borderId="52" xfId="584" applyFont="1" applyFill="1" applyBorder="1">
      <alignment/>
      <protection/>
    </xf>
    <xf numFmtId="164" fontId="52" fillId="15" borderId="53" xfId="584" applyNumberFormat="1" applyFont="1" applyFill="1" applyBorder="1" applyAlignment="1">
      <alignment horizontal="right"/>
      <protection/>
    </xf>
    <xf numFmtId="3" fontId="50" fillId="15" borderId="54" xfId="584" applyNumberFormat="1" applyFont="1" applyFill="1" applyBorder="1" applyAlignment="1">
      <alignment horizontal="right"/>
      <protection/>
    </xf>
    <xf numFmtId="4" fontId="50" fillId="15" borderId="54" xfId="584" applyNumberFormat="1" applyFont="1" applyFill="1" applyBorder="1" applyAlignment="1">
      <alignment horizontal="center"/>
      <protection/>
    </xf>
    <xf numFmtId="0" fontId="44" fillId="0" borderId="0" xfId="584" applyFont="1" applyFill="1" applyBorder="1" applyAlignment="1">
      <alignment horizontal="center"/>
      <protection/>
    </xf>
    <xf numFmtId="49" fontId="56" fillId="0" borderId="19" xfId="584" applyNumberFormat="1" applyFont="1" applyFill="1" applyBorder="1" applyAlignment="1">
      <alignment horizontal="right"/>
      <protection/>
    </xf>
    <xf numFmtId="0" fontId="44" fillId="0" borderId="25" xfId="584" applyFont="1" applyBorder="1" applyAlignment="1">
      <alignment horizontal="center"/>
      <protection/>
    </xf>
    <xf numFmtId="0" fontId="44" fillId="8" borderId="19" xfId="584" applyFont="1" applyFill="1" applyBorder="1">
      <alignment/>
      <protection/>
    </xf>
    <xf numFmtId="0" fontId="44" fillId="8" borderId="20" xfId="584" applyFont="1" applyFill="1" applyBorder="1">
      <alignment/>
      <protection/>
    </xf>
    <xf numFmtId="164" fontId="44" fillId="0" borderId="0" xfId="584" applyNumberFormat="1" applyFont="1" applyFill="1" applyBorder="1" applyAlignment="1">
      <alignment horizontal="right"/>
      <protection/>
    </xf>
    <xf numFmtId="3" fontId="44" fillId="0" borderId="31" xfId="584" applyNumberFormat="1" applyFont="1" applyFill="1" applyBorder="1" applyAlignment="1">
      <alignment horizontal="right"/>
      <protection/>
    </xf>
    <xf numFmtId="4" fontId="44" fillId="0" borderId="31" xfId="584" applyNumberFormat="1" applyFont="1" applyFill="1" applyBorder="1" applyAlignment="1">
      <alignment horizontal="center"/>
      <protection/>
    </xf>
    <xf numFmtId="0" fontId="44" fillId="0" borderId="16" xfId="584" applyFont="1" applyBorder="1" applyAlignment="1">
      <alignment horizontal="center"/>
      <protection/>
    </xf>
    <xf numFmtId="0" fontId="44" fillId="0" borderId="13" xfId="584" applyFont="1" applyFill="1" applyBorder="1">
      <alignment/>
      <protection/>
    </xf>
    <xf numFmtId="0" fontId="44" fillId="0" borderId="15" xfId="584" applyFont="1" applyFill="1" applyBorder="1">
      <alignment/>
      <protection/>
    </xf>
    <xf numFmtId="164" fontId="44" fillId="0" borderId="14" xfId="584" applyNumberFormat="1" applyFont="1" applyFill="1" applyBorder="1" applyAlignment="1">
      <alignment horizontal="right"/>
      <protection/>
    </xf>
    <xf numFmtId="3" fontId="44" fillId="0" borderId="54" xfId="584" applyNumberFormat="1" applyFont="1" applyFill="1" applyBorder="1" applyAlignment="1">
      <alignment horizontal="right"/>
      <protection/>
    </xf>
    <xf numFmtId="4" fontId="44" fillId="0" borderId="54" xfId="584" applyNumberFormat="1" applyFont="1" applyFill="1" applyBorder="1" applyAlignment="1">
      <alignment horizontal="center"/>
      <protection/>
    </xf>
    <xf numFmtId="0" fontId="44" fillId="8" borderId="13" xfId="584" applyFont="1" applyFill="1" applyBorder="1">
      <alignment/>
      <protection/>
    </xf>
    <xf numFmtId="0" fontId="44" fillId="8" borderId="15" xfId="584" applyFont="1" applyFill="1" applyBorder="1">
      <alignment/>
      <protection/>
    </xf>
    <xf numFmtId="0" fontId="44" fillId="8" borderId="18" xfId="584" applyFont="1" applyFill="1" applyBorder="1">
      <alignment/>
      <protection/>
    </xf>
    <xf numFmtId="0" fontId="44" fillId="8" borderId="23" xfId="584" applyFont="1" applyFill="1" applyBorder="1">
      <alignment/>
      <protection/>
    </xf>
    <xf numFmtId="164" fontId="44" fillId="0" borderId="22" xfId="584" applyNumberFormat="1" applyFont="1" applyFill="1" applyBorder="1" applyAlignment="1">
      <alignment horizontal="right"/>
      <protection/>
    </xf>
    <xf numFmtId="3" fontId="44" fillId="0" borderId="38" xfId="584" applyNumberFormat="1" applyFont="1" applyFill="1" applyBorder="1" applyAlignment="1">
      <alignment horizontal="right"/>
      <protection/>
    </xf>
    <xf numFmtId="4" fontId="44" fillId="0" borderId="38" xfId="584" applyNumberFormat="1" applyFont="1" applyFill="1" applyBorder="1" applyAlignment="1">
      <alignment horizontal="center"/>
      <protection/>
    </xf>
    <xf numFmtId="0" fontId="44" fillId="7" borderId="0" xfId="584" applyFont="1" applyFill="1" applyBorder="1">
      <alignment/>
      <protection/>
    </xf>
    <xf numFmtId="0" fontId="44" fillId="8" borderId="52" xfId="584" applyFont="1" applyFill="1" applyBorder="1">
      <alignment/>
      <protection/>
    </xf>
    <xf numFmtId="164" fontId="44" fillId="0" borderId="53" xfId="584" applyNumberFormat="1" applyFont="1" applyFill="1" applyBorder="1" applyAlignment="1">
      <alignment horizontal="right"/>
      <protection/>
    </xf>
    <xf numFmtId="0" fontId="44" fillId="0" borderId="20" xfId="584" applyFont="1" applyBorder="1" applyAlignment="1">
      <alignment horizontal="center"/>
      <protection/>
    </xf>
    <xf numFmtId="0" fontId="1" fillId="3" borderId="0" xfId="584" applyFont="1" applyFill="1" applyBorder="1">
      <alignment/>
      <protection/>
    </xf>
    <xf numFmtId="0" fontId="52" fillId="3" borderId="44" xfId="584" applyFont="1" applyFill="1" applyBorder="1">
      <alignment/>
      <protection/>
    </xf>
    <xf numFmtId="164" fontId="52" fillId="3" borderId="45" xfId="584" applyNumberFormat="1" applyFont="1" applyFill="1" applyBorder="1" applyAlignment="1">
      <alignment horizontal="right"/>
      <protection/>
    </xf>
    <xf numFmtId="3" fontId="52" fillId="3" borderId="31" xfId="584" applyNumberFormat="1" applyFont="1" applyFill="1" applyBorder="1" applyAlignment="1">
      <alignment horizontal="right"/>
      <protection/>
    </xf>
    <xf numFmtId="4" fontId="52" fillId="3" borderId="31" xfId="584" applyNumberFormat="1" applyFont="1" applyFill="1" applyBorder="1" applyAlignment="1">
      <alignment horizontal="center"/>
      <protection/>
    </xf>
    <xf numFmtId="0" fontId="44" fillId="0" borderId="20" xfId="584" applyFont="1" applyFill="1" applyBorder="1" applyAlignment="1">
      <alignment horizontal="center"/>
      <protection/>
    </xf>
    <xf numFmtId="0" fontId="1" fillId="0" borderId="0" xfId="584" applyFill="1">
      <alignment/>
      <protection/>
    </xf>
    <xf numFmtId="49" fontId="51" fillId="15" borderId="20" xfId="584" applyNumberFormat="1" applyFont="1" applyFill="1" applyBorder="1" applyAlignment="1">
      <alignment horizontal="center"/>
      <protection/>
    </xf>
    <xf numFmtId="0" fontId="52" fillId="15" borderId="13" xfId="584" applyFont="1" applyFill="1" applyBorder="1">
      <alignment/>
      <protection/>
    </xf>
    <xf numFmtId="0" fontId="50" fillId="15" borderId="52" xfId="584" applyFont="1" applyFill="1" applyBorder="1">
      <alignment/>
      <protection/>
    </xf>
    <xf numFmtId="164" fontId="50" fillId="15" borderId="53" xfId="584" applyNumberFormat="1" applyFont="1" applyFill="1" applyBorder="1" applyAlignment="1">
      <alignment horizontal="right"/>
      <protection/>
    </xf>
    <xf numFmtId="49" fontId="56" fillId="0" borderId="20" xfId="584" applyNumberFormat="1" applyFont="1" applyFill="1" applyBorder="1" applyAlignment="1">
      <alignment horizontal="right"/>
      <protection/>
    </xf>
    <xf numFmtId="0" fontId="44" fillId="0" borderId="25" xfId="584" applyFont="1" applyFill="1" applyBorder="1" applyAlignment="1">
      <alignment horizontal="center"/>
      <protection/>
    </xf>
    <xf numFmtId="0" fontId="44" fillId="0" borderId="0" xfId="584" applyFont="1" applyFill="1" applyBorder="1">
      <alignment/>
      <protection/>
    </xf>
    <xf numFmtId="0" fontId="44" fillId="0" borderId="44" xfId="584" applyFont="1" applyFill="1" applyBorder="1">
      <alignment/>
      <protection/>
    </xf>
    <xf numFmtId="164" fontId="50" fillId="0" borderId="45" xfId="584" applyNumberFormat="1" applyFont="1" applyFill="1" applyBorder="1" applyAlignment="1">
      <alignment horizontal="right"/>
      <protection/>
    </xf>
    <xf numFmtId="0" fontId="44" fillId="0" borderId="16" xfId="584" applyFont="1" applyFill="1" applyBorder="1" applyAlignment="1">
      <alignment horizontal="center"/>
      <protection/>
    </xf>
    <xf numFmtId="0" fontId="44" fillId="0" borderId="14" xfId="584" applyFont="1" applyFill="1" applyBorder="1">
      <alignment/>
      <protection/>
    </xf>
    <xf numFmtId="0" fontId="44" fillId="0" borderId="52" xfId="584" applyFont="1" applyFill="1" applyBorder="1">
      <alignment/>
      <protection/>
    </xf>
    <xf numFmtId="164" fontId="50" fillId="0" borderId="53" xfId="584" applyNumberFormat="1" applyFont="1" applyFill="1" applyBorder="1" applyAlignment="1">
      <alignment horizontal="right"/>
      <protection/>
    </xf>
    <xf numFmtId="0" fontId="50" fillId="0" borderId="52" xfId="584" applyFont="1" applyFill="1" applyBorder="1">
      <alignment/>
      <protection/>
    </xf>
    <xf numFmtId="164" fontId="44" fillId="0" borderId="53" xfId="584" applyNumberFormat="1" applyFont="1" applyFill="1" applyBorder="1">
      <alignment/>
      <protection/>
    </xf>
    <xf numFmtId="3" fontId="44" fillId="0" borderId="54" xfId="584" applyNumberFormat="1" applyFont="1" applyFill="1" applyBorder="1">
      <alignment/>
      <protection/>
    </xf>
    <xf numFmtId="164" fontId="50" fillId="15" borderId="53" xfId="584" applyNumberFormat="1" applyFont="1" applyFill="1" applyBorder="1">
      <alignment/>
      <protection/>
    </xf>
    <xf numFmtId="3" fontId="50" fillId="15" borderId="54" xfId="584" applyNumberFormat="1" applyFont="1" applyFill="1" applyBorder="1">
      <alignment/>
      <protection/>
    </xf>
    <xf numFmtId="49" fontId="44" fillId="0" borderId="25" xfId="584" applyNumberFormat="1" applyFont="1" applyFill="1" applyBorder="1" applyAlignment="1">
      <alignment horizontal="center"/>
      <protection/>
    </xf>
    <xf numFmtId="0" fontId="44" fillId="8" borderId="44" xfId="584" applyFont="1" applyFill="1" applyBorder="1">
      <alignment/>
      <protection/>
    </xf>
    <xf numFmtId="164" fontId="44" fillId="0" borderId="45" xfId="584" applyNumberFormat="1" applyFont="1" applyFill="1" applyBorder="1">
      <alignment/>
      <protection/>
    </xf>
    <xf numFmtId="3" fontId="44" fillId="0" borderId="31" xfId="584" applyNumberFormat="1" applyFont="1" applyFill="1" applyBorder="1">
      <alignment/>
      <protection/>
    </xf>
    <xf numFmtId="49" fontId="56" fillId="0" borderId="0" xfId="584" applyNumberFormat="1" applyFont="1" applyFill="1" applyBorder="1" applyAlignment="1">
      <alignment horizontal="right"/>
      <protection/>
    </xf>
    <xf numFmtId="49" fontId="44" fillId="0" borderId="16" xfId="584" applyNumberFormat="1" applyFont="1" applyFill="1" applyBorder="1" applyAlignment="1">
      <alignment horizontal="center"/>
      <protection/>
    </xf>
    <xf numFmtId="49" fontId="56" fillId="0" borderId="25" xfId="584" applyNumberFormat="1" applyFont="1" applyFill="1" applyBorder="1" applyAlignment="1">
      <alignment horizontal="right"/>
      <protection/>
    </xf>
    <xf numFmtId="164" fontId="44" fillId="0" borderId="45" xfId="584" applyNumberFormat="1" applyFont="1" applyFill="1" applyBorder="1" applyAlignment="1">
      <alignment horizontal="right"/>
      <protection/>
    </xf>
    <xf numFmtId="0" fontId="44" fillId="0" borderId="0" xfId="584" applyFont="1" applyBorder="1">
      <alignment/>
      <protection/>
    </xf>
    <xf numFmtId="0" fontId="44" fillId="0" borderId="19" xfId="584" applyFont="1" applyBorder="1">
      <alignment/>
      <protection/>
    </xf>
    <xf numFmtId="0" fontId="44" fillId="0" borderId="31" xfId="584" applyFont="1" applyBorder="1">
      <alignment/>
      <protection/>
    </xf>
    <xf numFmtId="4" fontId="44" fillId="0" borderId="31" xfId="584" applyNumberFormat="1" applyFont="1" applyBorder="1" applyAlignment="1">
      <alignment horizontal="center"/>
      <protection/>
    </xf>
    <xf numFmtId="0" fontId="44" fillId="0" borderId="0" xfId="584" applyFont="1">
      <alignment/>
      <protection/>
    </xf>
    <xf numFmtId="0" fontId="44" fillId="0" borderId="13" xfId="584" applyFont="1" applyBorder="1">
      <alignment/>
      <protection/>
    </xf>
    <xf numFmtId="0" fontId="44" fillId="0" borderId="14" xfId="584" applyFont="1" applyBorder="1">
      <alignment/>
      <protection/>
    </xf>
    <xf numFmtId="0" fontId="44" fillId="0" borderId="54" xfId="584" applyFont="1" applyBorder="1">
      <alignment/>
      <protection/>
    </xf>
    <xf numFmtId="4" fontId="44" fillId="0" borderId="54" xfId="584" applyNumberFormat="1" applyFont="1" applyBorder="1" applyAlignment="1">
      <alignment horizontal="center"/>
      <protection/>
    </xf>
    <xf numFmtId="0" fontId="53" fillId="0" borderId="19" xfId="584" applyFont="1" applyFill="1" applyBorder="1" applyAlignment="1">
      <alignment/>
      <protection/>
    </xf>
    <xf numFmtId="164" fontId="52" fillId="15" borderId="53" xfId="584" applyNumberFormat="1" applyFont="1" applyFill="1" applyBorder="1" applyAlignment="1">
      <alignment/>
      <protection/>
    </xf>
    <xf numFmtId="3" fontId="50" fillId="15" borderId="54" xfId="584" applyNumberFormat="1" applyFont="1" applyFill="1" applyBorder="1" applyAlignment="1">
      <alignment/>
      <protection/>
    </xf>
    <xf numFmtId="0" fontId="50" fillId="0" borderId="44" xfId="584" applyFont="1" applyFill="1" applyBorder="1">
      <alignment/>
      <protection/>
    </xf>
    <xf numFmtId="164" fontId="50" fillId="0" borderId="45" xfId="584" applyNumberFormat="1" applyFont="1" applyFill="1" applyBorder="1" applyAlignment="1">
      <alignment/>
      <protection/>
    </xf>
    <xf numFmtId="3" fontId="44" fillId="0" borderId="31" xfId="584" applyNumberFormat="1" applyFont="1" applyFill="1" applyBorder="1" applyAlignment="1">
      <alignment/>
      <protection/>
    </xf>
    <xf numFmtId="164" fontId="50" fillId="0" borderId="53" xfId="584" applyNumberFormat="1" applyFont="1" applyFill="1" applyBorder="1" applyAlignment="1">
      <alignment/>
      <protection/>
    </xf>
    <xf numFmtId="3" fontId="44" fillId="0" borderId="54" xfId="584" applyNumberFormat="1" applyFont="1" applyFill="1" applyBorder="1" applyAlignment="1">
      <alignment/>
      <protection/>
    </xf>
    <xf numFmtId="0" fontId="51" fillId="10" borderId="0" xfId="584" applyFont="1" applyFill="1" applyBorder="1" applyAlignment="1">
      <alignment horizontal="center"/>
      <protection/>
    </xf>
    <xf numFmtId="0" fontId="53" fillId="10" borderId="19" xfId="584" applyFont="1" applyFill="1" applyBorder="1" applyAlignment="1">
      <alignment/>
      <protection/>
    </xf>
    <xf numFmtId="0" fontId="51" fillId="0" borderId="0" xfId="584" applyFont="1" applyFill="1" applyBorder="1" applyAlignment="1">
      <alignment horizontal="center"/>
      <protection/>
    </xf>
    <xf numFmtId="49" fontId="54" fillId="15" borderId="25" xfId="584" applyNumberFormat="1" applyFont="1" applyFill="1" applyBorder="1" applyAlignment="1">
      <alignment horizontal="center"/>
      <protection/>
    </xf>
    <xf numFmtId="0" fontId="44" fillId="0" borderId="19" xfId="584" applyFont="1" applyFill="1" applyBorder="1">
      <alignment/>
      <protection/>
    </xf>
    <xf numFmtId="0" fontId="53" fillId="10" borderId="0" xfId="584" applyFont="1" applyFill="1" applyBorder="1" applyAlignment="1">
      <alignment/>
      <protection/>
    </xf>
    <xf numFmtId="0" fontId="50" fillId="10" borderId="44" xfId="584" applyFont="1" applyFill="1" applyBorder="1" applyAlignment="1">
      <alignment/>
      <protection/>
    </xf>
    <xf numFmtId="49" fontId="54" fillId="15" borderId="20" xfId="584" applyNumberFormat="1" applyFont="1" applyFill="1" applyBorder="1" applyAlignment="1">
      <alignment horizontal="center"/>
      <protection/>
    </xf>
    <xf numFmtId="0" fontId="56" fillId="0" borderId="0" xfId="584" applyFont="1" applyBorder="1" applyAlignment="1">
      <alignment horizontal="right"/>
      <protection/>
    </xf>
    <xf numFmtId="0" fontId="44" fillId="0" borderId="14" xfId="584" applyFont="1" applyFill="1" applyBorder="1" applyAlignment="1">
      <alignment/>
      <protection/>
    </xf>
    <xf numFmtId="0" fontId="50" fillId="0" borderId="52" xfId="584" applyFont="1" applyFill="1" applyBorder="1" applyAlignment="1">
      <alignment/>
      <protection/>
    </xf>
    <xf numFmtId="164" fontId="52" fillId="0" borderId="53" xfId="584" applyNumberFormat="1" applyFont="1" applyFill="1" applyBorder="1" applyAlignment="1">
      <alignment/>
      <protection/>
    </xf>
    <xf numFmtId="0" fontId="44" fillId="0" borderId="55" xfId="584" applyFont="1" applyBorder="1" applyAlignment="1">
      <alignment horizontal="center"/>
      <protection/>
    </xf>
    <xf numFmtId="0" fontId="51" fillId="0" borderId="56" xfId="584" applyFont="1" applyFill="1" applyBorder="1" applyAlignment="1">
      <alignment horizontal="center"/>
      <protection/>
    </xf>
    <xf numFmtId="0" fontId="56" fillId="0" borderId="57" xfId="584" applyFont="1" applyBorder="1" applyAlignment="1">
      <alignment horizontal="right"/>
      <protection/>
    </xf>
    <xf numFmtId="0" fontId="44" fillId="0" borderId="58" xfId="584" applyFont="1" applyFill="1" applyBorder="1" applyAlignment="1">
      <alignment horizontal="center"/>
      <protection/>
    </xf>
    <xf numFmtId="0" fontId="44" fillId="0" borderId="57" xfId="584" applyFont="1" applyFill="1" applyBorder="1" applyAlignment="1">
      <alignment/>
      <protection/>
    </xf>
    <xf numFmtId="0" fontId="50" fillId="0" borderId="59" xfId="584" applyFont="1" applyFill="1" applyBorder="1" applyAlignment="1">
      <alignment/>
      <protection/>
    </xf>
    <xf numFmtId="164" fontId="52" fillId="0" borderId="60" xfId="584" applyNumberFormat="1" applyFont="1" applyFill="1" applyBorder="1" applyAlignment="1">
      <alignment/>
      <protection/>
    </xf>
    <xf numFmtId="3" fontId="48" fillId="0" borderId="55" xfId="584" applyNumberFormat="1" applyFont="1" applyFill="1" applyBorder="1" applyAlignment="1">
      <alignment/>
      <protection/>
    </xf>
    <xf numFmtId="4" fontId="48" fillId="0" borderId="55" xfId="584" applyNumberFormat="1" applyFont="1" applyFill="1" applyBorder="1" applyAlignment="1">
      <alignment horizontal="center"/>
      <protection/>
    </xf>
    <xf numFmtId="164" fontId="1" fillId="0" borderId="0" xfId="584" applyNumberFormat="1" applyFont="1" applyFill="1">
      <alignment/>
      <protection/>
    </xf>
    <xf numFmtId="3" fontId="46" fillId="0" borderId="0" xfId="584" applyNumberFormat="1" applyFont="1" applyFill="1">
      <alignment/>
      <protection/>
    </xf>
    <xf numFmtId="164" fontId="1" fillId="0" borderId="0" xfId="584" applyNumberFormat="1" applyFont="1">
      <alignment/>
      <protection/>
    </xf>
    <xf numFmtId="0" fontId="44" fillId="9" borderId="55" xfId="584" applyFont="1" applyFill="1" applyBorder="1" applyAlignment="1">
      <alignment horizontal="center"/>
      <protection/>
    </xf>
    <xf numFmtId="0" fontId="44" fillId="9" borderId="61" xfId="584" applyFont="1" applyFill="1" applyBorder="1" applyAlignment="1">
      <alignment horizontal="center"/>
      <protection/>
    </xf>
    <xf numFmtId="49" fontId="44" fillId="9" borderId="61" xfId="584" applyNumberFormat="1" applyFont="1" applyFill="1" applyBorder="1" applyAlignment="1">
      <alignment horizontal="center"/>
      <protection/>
    </xf>
    <xf numFmtId="1" fontId="1" fillId="9" borderId="62" xfId="584" applyNumberFormat="1" applyFont="1" applyFill="1" applyBorder="1" applyAlignment="1">
      <alignment horizontal="center" vertical="center"/>
      <protection/>
    </xf>
    <xf numFmtId="0" fontId="49" fillId="7" borderId="33" xfId="584" applyFont="1" applyFill="1" applyBorder="1" applyAlignment="1">
      <alignment horizontal="left" vertical="center"/>
      <protection/>
    </xf>
    <xf numFmtId="0" fontId="49" fillId="7" borderId="63" xfId="584" applyFont="1" applyFill="1" applyBorder="1" applyAlignment="1">
      <alignment vertical="center"/>
      <protection/>
    </xf>
    <xf numFmtId="0" fontId="57" fillId="7" borderId="63" xfId="584" applyFont="1" applyFill="1" applyBorder="1" applyAlignment="1">
      <alignment/>
      <protection/>
    </xf>
    <xf numFmtId="0" fontId="49" fillId="7" borderId="63" xfId="584" applyFont="1" applyFill="1" applyBorder="1" applyAlignment="1">
      <alignment/>
      <protection/>
    </xf>
    <xf numFmtId="0" fontId="57" fillId="7" borderId="37" xfId="584" applyFont="1" applyFill="1" applyBorder="1" applyAlignment="1">
      <alignment/>
      <protection/>
    </xf>
    <xf numFmtId="164" fontId="49" fillId="7" borderId="33" xfId="584" applyNumberFormat="1" applyFont="1" applyFill="1" applyBorder="1" applyAlignment="1">
      <alignment/>
      <protection/>
    </xf>
    <xf numFmtId="3" fontId="49" fillId="7" borderId="63" xfId="584" applyNumberFormat="1" applyFont="1" applyFill="1" applyBorder="1" applyAlignment="1">
      <alignment/>
      <protection/>
    </xf>
    <xf numFmtId="0" fontId="50" fillId="7" borderId="64" xfId="584" applyFont="1" applyFill="1" applyBorder="1">
      <alignment/>
      <protection/>
    </xf>
    <xf numFmtId="164" fontId="52" fillId="7" borderId="45" xfId="584" applyNumberFormat="1" applyFont="1" applyFill="1" applyBorder="1">
      <alignment/>
      <protection/>
    </xf>
    <xf numFmtId="3" fontId="52" fillId="7" borderId="0" xfId="584" applyNumberFormat="1" applyFont="1" applyFill="1" applyBorder="1">
      <alignment/>
      <protection/>
    </xf>
    <xf numFmtId="3" fontId="52" fillId="7" borderId="31" xfId="584" applyNumberFormat="1" applyFont="1" applyFill="1" applyBorder="1">
      <alignment/>
      <protection/>
    </xf>
    <xf numFmtId="3" fontId="52" fillId="7" borderId="45" xfId="584" applyNumberFormat="1" applyFont="1" applyFill="1" applyBorder="1">
      <alignment/>
      <protection/>
    </xf>
    <xf numFmtId="0" fontId="50" fillId="7" borderId="65" xfId="584" applyFont="1" applyFill="1" applyBorder="1">
      <alignment/>
      <protection/>
    </xf>
    <xf numFmtId="164" fontId="52" fillId="7" borderId="50" xfId="584" applyNumberFormat="1" applyFont="1" applyFill="1" applyBorder="1">
      <alignment/>
      <protection/>
    </xf>
    <xf numFmtId="3" fontId="52" fillId="7" borderId="48" xfId="584" applyNumberFormat="1" applyFont="1" applyFill="1" applyBorder="1">
      <alignment/>
      <protection/>
    </xf>
    <xf numFmtId="3" fontId="52" fillId="7" borderId="51" xfId="584" applyNumberFormat="1" applyFont="1" applyFill="1" applyBorder="1">
      <alignment/>
      <protection/>
    </xf>
    <xf numFmtId="0" fontId="51" fillId="10" borderId="64" xfId="584" applyFont="1" applyFill="1" applyBorder="1" applyAlignment="1">
      <alignment horizontal="center"/>
      <protection/>
    </xf>
    <xf numFmtId="3" fontId="52" fillId="10" borderId="0" xfId="584" applyNumberFormat="1" applyFont="1" applyFill="1" applyBorder="1" applyAlignment="1">
      <alignment/>
      <protection/>
    </xf>
    <xf numFmtId="0" fontId="51" fillId="0" borderId="64" xfId="584" applyFont="1" applyFill="1" applyBorder="1" applyAlignment="1">
      <alignment horizontal="center"/>
      <protection/>
    </xf>
    <xf numFmtId="3" fontId="50" fillId="7" borderId="0" xfId="584" applyNumberFormat="1" applyFont="1" applyFill="1" applyBorder="1">
      <alignment/>
      <protection/>
    </xf>
    <xf numFmtId="0" fontId="44" fillId="0" borderId="64" xfId="584" applyFont="1" applyBorder="1" applyAlignment="1">
      <alignment horizontal="center"/>
      <protection/>
    </xf>
    <xf numFmtId="49" fontId="54" fillId="15" borderId="0" xfId="584" applyNumberFormat="1" applyFont="1" applyFill="1" applyBorder="1" applyAlignment="1">
      <alignment horizontal="center"/>
      <protection/>
    </xf>
    <xf numFmtId="0" fontId="44" fillId="15" borderId="14" xfId="584" applyFont="1" applyFill="1" applyBorder="1">
      <alignment/>
      <protection/>
    </xf>
    <xf numFmtId="0" fontId="44" fillId="15" borderId="52" xfId="584" applyFont="1" applyFill="1" applyBorder="1">
      <alignment/>
      <protection/>
    </xf>
    <xf numFmtId="3" fontId="50" fillId="15" borderId="53" xfId="584" applyNumberFormat="1" applyFont="1" applyFill="1" applyBorder="1" applyAlignment="1">
      <alignment horizontal="right"/>
      <protection/>
    </xf>
    <xf numFmtId="3" fontId="44" fillId="0" borderId="14" xfId="584" applyNumberFormat="1" applyFont="1" applyFill="1" applyBorder="1" applyAlignment="1">
      <alignment horizontal="right"/>
      <protection/>
    </xf>
    <xf numFmtId="0" fontId="44" fillId="0" borderId="56" xfId="584" applyFont="1" applyBorder="1" applyAlignment="1">
      <alignment horizontal="center"/>
      <protection/>
    </xf>
    <xf numFmtId="49" fontId="56" fillId="0" borderId="57" xfId="584" applyNumberFormat="1" applyFont="1" applyFill="1" applyBorder="1" applyAlignment="1">
      <alignment horizontal="right"/>
      <protection/>
    </xf>
    <xf numFmtId="49" fontId="44" fillId="0" borderId="58" xfId="584" applyNumberFormat="1" applyFont="1" applyFill="1" applyBorder="1" applyAlignment="1">
      <alignment horizontal="center"/>
      <protection/>
    </xf>
    <xf numFmtId="0" fontId="44" fillId="0" borderId="66" xfId="584" applyFont="1" applyFill="1" applyBorder="1">
      <alignment/>
      <protection/>
    </xf>
    <xf numFmtId="0" fontId="44" fillId="0" borderId="59" xfId="584" applyFont="1" applyFill="1" applyBorder="1">
      <alignment/>
      <protection/>
    </xf>
    <xf numFmtId="164" fontId="50" fillId="0" borderId="60" xfId="584" applyNumberFormat="1" applyFont="1" applyFill="1" applyBorder="1" applyAlignment="1">
      <alignment horizontal="right"/>
      <protection/>
    </xf>
    <xf numFmtId="3" fontId="44" fillId="0" borderId="57" xfId="584" applyNumberFormat="1" applyFont="1" applyFill="1" applyBorder="1" applyAlignment="1">
      <alignment horizontal="right"/>
      <protection/>
    </xf>
    <xf numFmtId="3" fontId="44" fillId="0" borderId="55" xfId="584" applyNumberFormat="1" applyFont="1" applyFill="1" applyBorder="1" applyAlignment="1">
      <alignment horizontal="right"/>
      <protection/>
    </xf>
    <xf numFmtId="4" fontId="44" fillId="0" borderId="55" xfId="584" applyNumberFormat="1" applyFont="1" applyFill="1" applyBorder="1" applyAlignment="1">
      <alignment horizontal="center"/>
      <protection/>
    </xf>
    <xf numFmtId="0" fontId="58" fillId="0" borderId="0" xfId="584" applyFont="1" applyBorder="1">
      <alignment/>
      <protection/>
    </xf>
    <xf numFmtId="0" fontId="45" fillId="0" borderId="0" xfId="584" applyFont="1" applyBorder="1">
      <alignment/>
      <protection/>
    </xf>
    <xf numFmtId="164" fontId="1" fillId="0" borderId="0" xfId="584" applyNumberFormat="1" applyFont="1" applyBorder="1">
      <alignment/>
      <protection/>
    </xf>
    <xf numFmtId="3" fontId="59" fillId="0" borderId="0" xfId="584" applyNumberFormat="1" applyFont="1" applyBorder="1">
      <alignment/>
      <protection/>
    </xf>
    <xf numFmtId="3" fontId="59" fillId="0" borderId="0" xfId="584" applyNumberFormat="1" applyFont="1" applyFill="1">
      <alignment/>
      <protection/>
    </xf>
    <xf numFmtId="0" fontId="55" fillId="7" borderId="32" xfId="584" applyFont="1" applyFill="1" applyBorder="1" applyAlignment="1">
      <alignment horizontal="left" vertical="center"/>
      <protection/>
    </xf>
    <xf numFmtId="0" fontId="49" fillId="7" borderId="67" xfId="584" applyFont="1" applyFill="1" applyBorder="1" applyAlignment="1">
      <alignment vertical="center"/>
      <protection/>
    </xf>
    <xf numFmtId="0" fontId="57" fillId="7" borderId="41" xfId="584" applyFont="1" applyFill="1" applyBorder="1" applyAlignment="1">
      <alignment/>
      <protection/>
    </xf>
    <xf numFmtId="0" fontId="57" fillId="7" borderId="42" xfId="584" applyFont="1" applyFill="1" applyBorder="1" applyAlignment="1">
      <alignment/>
      <protection/>
    </xf>
    <xf numFmtId="3" fontId="49" fillId="7" borderId="32" xfId="584" applyNumberFormat="1" applyFont="1" applyFill="1" applyBorder="1" applyAlignment="1">
      <alignment/>
      <protection/>
    </xf>
    <xf numFmtId="3" fontId="52" fillId="7" borderId="50" xfId="584" applyNumberFormat="1" applyFont="1" applyFill="1" applyBorder="1">
      <alignment/>
      <protection/>
    </xf>
    <xf numFmtId="0" fontId="51" fillId="10" borderId="45" xfId="584" applyFont="1" applyFill="1" applyBorder="1" applyAlignment="1">
      <alignment horizontal="center"/>
      <protection/>
    </xf>
    <xf numFmtId="3" fontId="52" fillId="10" borderId="45" xfId="584" applyNumberFormat="1" applyFont="1" applyFill="1" applyBorder="1" applyAlignment="1">
      <alignment/>
      <protection/>
    </xf>
    <xf numFmtId="0" fontId="51" fillId="0" borderId="45" xfId="584" applyFont="1" applyFill="1" applyBorder="1" applyAlignment="1">
      <alignment horizontal="center"/>
      <protection/>
    </xf>
    <xf numFmtId="3" fontId="50" fillId="7" borderId="45" xfId="584" applyNumberFormat="1" applyFont="1" applyFill="1" applyBorder="1">
      <alignment/>
      <protection/>
    </xf>
    <xf numFmtId="0" fontId="44" fillId="0" borderId="45" xfId="584" applyFont="1" applyBorder="1" applyAlignment="1">
      <alignment horizontal="center"/>
      <protection/>
    </xf>
    <xf numFmtId="49" fontId="54" fillId="15" borderId="25" xfId="584" applyNumberFormat="1" applyFont="1" applyFill="1" applyBorder="1" applyAlignment="1">
      <alignment horizontal="right"/>
      <protection/>
    </xf>
    <xf numFmtId="0" fontId="44" fillId="8" borderId="0" xfId="584" applyFont="1" applyFill="1" applyBorder="1">
      <alignment/>
      <protection/>
    </xf>
    <xf numFmtId="3" fontId="44" fillId="0" borderId="45" xfId="584" applyNumberFormat="1" applyFont="1" applyFill="1" applyBorder="1" applyAlignment="1">
      <alignment horizontal="right"/>
      <protection/>
    </xf>
    <xf numFmtId="0" fontId="44" fillId="8" borderId="14" xfId="584" applyFont="1" applyFill="1" applyBorder="1">
      <alignment/>
      <protection/>
    </xf>
    <xf numFmtId="3" fontId="44" fillId="0" borderId="53" xfId="584" applyNumberFormat="1" applyFont="1" applyFill="1" applyBorder="1" applyAlignment="1">
      <alignment horizontal="right"/>
      <protection/>
    </xf>
    <xf numFmtId="0" fontId="53" fillId="10" borderId="45" xfId="584" applyFont="1" applyFill="1" applyBorder="1" applyAlignment="1">
      <alignment horizontal="center"/>
      <protection/>
    </xf>
    <xf numFmtId="0" fontId="53" fillId="10" borderId="44" xfId="584" applyFont="1" applyFill="1" applyBorder="1">
      <alignment/>
      <protection/>
    </xf>
    <xf numFmtId="164" fontId="44" fillId="10" borderId="45" xfId="584" applyNumberFormat="1" applyFont="1" applyFill="1" applyBorder="1" applyAlignment="1">
      <alignment horizontal="right"/>
      <protection/>
    </xf>
    <xf numFmtId="3" fontId="52" fillId="10" borderId="45" xfId="584" applyNumberFormat="1" applyFont="1" applyFill="1" applyBorder="1" applyAlignment="1">
      <alignment horizontal="right"/>
      <protection/>
    </xf>
    <xf numFmtId="3" fontId="52" fillId="10" borderId="31" xfId="584" applyNumberFormat="1" applyFont="1" applyFill="1" applyBorder="1" applyAlignment="1">
      <alignment horizontal="right"/>
      <protection/>
    </xf>
    <xf numFmtId="0" fontId="1" fillId="0" borderId="45" xfId="584" applyFont="1" applyBorder="1" applyAlignment="1">
      <alignment horizontal="center"/>
      <protection/>
    </xf>
    <xf numFmtId="0" fontId="1" fillId="0" borderId="25" xfId="584" applyFont="1" applyBorder="1">
      <alignment/>
      <protection/>
    </xf>
    <xf numFmtId="3" fontId="50" fillId="15" borderId="53" xfId="584" applyNumberFormat="1" applyFont="1" applyFill="1" applyBorder="1">
      <alignment/>
      <protection/>
    </xf>
    <xf numFmtId="0" fontId="44" fillId="0" borderId="45" xfId="584" applyFont="1" applyFill="1" applyBorder="1" applyAlignment="1">
      <alignment horizontal="center"/>
      <protection/>
    </xf>
    <xf numFmtId="0" fontId="44" fillId="8" borderId="16" xfId="584" applyFont="1" applyFill="1" applyBorder="1" applyAlignment="1">
      <alignment horizontal="center"/>
      <protection/>
    </xf>
    <xf numFmtId="0" fontId="44" fillId="8" borderId="25" xfId="584" applyFont="1" applyFill="1" applyBorder="1" applyAlignment="1">
      <alignment horizontal="center"/>
      <protection/>
    </xf>
    <xf numFmtId="0" fontId="48" fillId="0" borderId="16" xfId="584" applyFont="1" applyFill="1" applyBorder="1" applyAlignment="1">
      <alignment horizontal="center"/>
      <protection/>
    </xf>
    <xf numFmtId="49" fontId="34" fillId="0" borderId="25" xfId="584" applyNumberFormat="1" applyFont="1" applyFill="1" applyBorder="1" applyAlignment="1">
      <alignment horizontal="right"/>
      <protection/>
    </xf>
    <xf numFmtId="0" fontId="30" fillId="0" borderId="16" xfId="584" applyFont="1" applyFill="1" applyBorder="1" applyAlignment="1">
      <alignment horizontal="center"/>
      <protection/>
    </xf>
    <xf numFmtId="0" fontId="30" fillId="0" borderId="13" xfId="584" applyFont="1" applyFill="1" applyBorder="1">
      <alignment/>
      <protection/>
    </xf>
    <xf numFmtId="0" fontId="30" fillId="0" borderId="52" xfId="584" applyFont="1" applyFill="1" applyBorder="1">
      <alignment/>
      <protection/>
    </xf>
    <xf numFmtId="164" fontId="30" fillId="0" borderId="53" xfId="584" applyNumberFormat="1" applyFont="1" applyFill="1" applyBorder="1" applyAlignment="1">
      <alignment horizontal="right"/>
      <protection/>
    </xf>
    <xf numFmtId="3" fontId="30" fillId="0" borderId="53" xfId="584" applyNumberFormat="1" applyFont="1" applyFill="1" applyBorder="1" applyAlignment="1">
      <alignment horizontal="right"/>
      <protection/>
    </xf>
    <xf numFmtId="3" fontId="30" fillId="0" borderId="54" xfId="584" applyNumberFormat="1" applyFont="1" applyFill="1" applyBorder="1" applyAlignment="1">
      <alignment horizontal="right"/>
      <protection/>
    </xf>
    <xf numFmtId="4" fontId="30" fillId="0" borderId="54" xfId="584" applyNumberFormat="1" applyFont="1" applyFill="1" applyBorder="1" applyAlignment="1">
      <alignment horizontal="center"/>
      <protection/>
    </xf>
    <xf numFmtId="164" fontId="30" fillId="0" borderId="0" xfId="584" applyNumberFormat="1" applyFont="1" applyFill="1" applyBorder="1" applyAlignment="1">
      <alignment horizontal="right"/>
      <protection/>
    </xf>
    <xf numFmtId="3" fontId="31" fillId="7" borderId="45" xfId="584" applyNumberFormat="1" applyFont="1" applyFill="1" applyBorder="1" applyAlignment="1">
      <alignment horizontal="right"/>
      <protection/>
    </xf>
    <xf numFmtId="3" fontId="31" fillId="7" borderId="31" xfId="584" applyNumberFormat="1" applyFont="1" applyFill="1" applyBorder="1" applyAlignment="1">
      <alignment horizontal="right"/>
      <protection/>
    </xf>
    <xf numFmtId="4" fontId="31" fillId="7" borderId="31" xfId="584" applyNumberFormat="1" applyFont="1" applyFill="1" applyBorder="1" applyAlignment="1">
      <alignment horizontal="center"/>
      <protection/>
    </xf>
    <xf numFmtId="0" fontId="52" fillId="15" borderId="22" xfId="584" applyFont="1" applyFill="1" applyBorder="1">
      <alignment/>
      <protection/>
    </xf>
    <xf numFmtId="0" fontId="44" fillId="15" borderId="22" xfId="584" applyFont="1" applyFill="1" applyBorder="1">
      <alignment/>
      <protection/>
    </xf>
    <xf numFmtId="0" fontId="44" fillId="15" borderId="39" xfId="584" applyFont="1" applyFill="1" applyBorder="1">
      <alignment/>
      <protection/>
    </xf>
    <xf numFmtId="3" fontId="30" fillId="15" borderId="53" xfId="584" applyNumberFormat="1" applyFont="1" applyFill="1" applyBorder="1" applyAlignment="1">
      <alignment horizontal="right"/>
      <protection/>
    </xf>
    <xf numFmtId="3" fontId="30" fillId="15" borderId="54" xfId="584" applyNumberFormat="1" applyFont="1" applyFill="1" applyBorder="1" applyAlignment="1">
      <alignment horizontal="right"/>
      <protection/>
    </xf>
    <xf numFmtId="4" fontId="30" fillId="15" borderId="54" xfId="584" applyNumberFormat="1" applyFont="1" applyFill="1" applyBorder="1" applyAlignment="1">
      <alignment horizontal="center"/>
      <protection/>
    </xf>
    <xf numFmtId="0" fontId="30" fillId="0" borderId="14" xfId="584" applyFont="1" applyFill="1" applyBorder="1" applyAlignment="1">
      <alignment horizontal="center"/>
      <protection/>
    </xf>
    <xf numFmtId="0" fontId="30" fillId="0" borderId="14" xfId="584" applyFont="1" applyFill="1" applyBorder="1">
      <alignment/>
      <protection/>
    </xf>
    <xf numFmtId="164" fontId="30" fillId="0" borderId="14" xfId="584" applyNumberFormat="1" applyFont="1" applyFill="1" applyBorder="1" applyAlignment="1">
      <alignment horizontal="right"/>
      <protection/>
    </xf>
    <xf numFmtId="0" fontId="30" fillId="0" borderId="60" xfId="584" applyFont="1" applyFill="1" applyBorder="1" applyAlignment="1">
      <alignment horizontal="center"/>
      <protection/>
    </xf>
    <xf numFmtId="49" fontId="34" fillId="0" borderId="58" xfId="584" applyNumberFormat="1" applyFont="1" applyFill="1" applyBorder="1" applyAlignment="1">
      <alignment horizontal="right"/>
      <protection/>
    </xf>
    <xf numFmtId="0" fontId="30" fillId="0" borderId="58" xfId="584" applyFont="1" applyFill="1" applyBorder="1" applyAlignment="1">
      <alignment horizontal="center"/>
      <protection/>
    </xf>
    <xf numFmtId="0" fontId="30" fillId="0" borderId="66" xfId="584" applyFont="1" applyFill="1" applyBorder="1">
      <alignment/>
      <protection/>
    </xf>
    <xf numFmtId="0" fontId="30" fillId="0" borderId="59" xfId="584" applyFont="1" applyFill="1" applyBorder="1">
      <alignment/>
      <protection/>
    </xf>
    <xf numFmtId="164" fontId="30" fillId="0" borderId="60" xfId="584" applyNumberFormat="1" applyFont="1" applyFill="1" applyBorder="1" applyAlignment="1">
      <alignment horizontal="right"/>
      <protection/>
    </xf>
    <xf numFmtId="3" fontId="30" fillId="0" borderId="60" xfId="584" applyNumberFormat="1" applyFont="1" applyFill="1" applyBorder="1" applyAlignment="1">
      <alignment horizontal="right"/>
      <protection/>
    </xf>
    <xf numFmtId="3" fontId="30" fillId="0" borderId="55" xfId="584" applyNumberFormat="1" applyFont="1" applyFill="1" applyBorder="1" applyAlignment="1">
      <alignment horizontal="right"/>
      <protection/>
    </xf>
    <xf numFmtId="4" fontId="30" fillId="0" borderId="55" xfId="584" applyNumberFormat="1" applyFont="1" applyFill="1" applyBorder="1" applyAlignment="1">
      <alignment horizontal="center"/>
      <protection/>
    </xf>
    <xf numFmtId="164" fontId="60" fillId="7" borderId="32" xfId="584" applyNumberFormat="1" applyFont="1" applyFill="1" applyBorder="1" applyAlignment="1">
      <alignment/>
      <protection/>
    </xf>
    <xf numFmtId="3" fontId="52" fillId="7" borderId="49" xfId="584" applyNumberFormat="1" applyFont="1" applyFill="1" applyBorder="1">
      <alignment/>
      <protection/>
    </xf>
    <xf numFmtId="3" fontId="50" fillId="7" borderId="44" xfId="584" applyNumberFormat="1" applyFont="1" applyFill="1" applyBorder="1">
      <alignment/>
      <protection/>
    </xf>
    <xf numFmtId="3" fontId="44" fillId="0" borderId="44" xfId="584" applyNumberFormat="1" applyFont="1" applyFill="1" applyBorder="1" applyAlignment="1">
      <alignment horizontal="right"/>
      <protection/>
    </xf>
    <xf numFmtId="3" fontId="44" fillId="0" borderId="52" xfId="584" applyNumberFormat="1" applyFont="1" applyFill="1" applyBorder="1" applyAlignment="1">
      <alignment horizontal="right"/>
      <protection/>
    </xf>
    <xf numFmtId="3" fontId="52" fillId="10" borderId="44" xfId="584" applyNumberFormat="1" applyFont="1" applyFill="1" applyBorder="1" applyAlignment="1">
      <alignment/>
      <protection/>
    </xf>
    <xf numFmtId="0" fontId="1" fillId="15" borderId="52" xfId="584" applyFont="1" applyFill="1" applyBorder="1">
      <alignment/>
      <protection/>
    </xf>
    <xf numFmtId="3" fontId="44" fillId="0" borderId="44" xfId="584" applyNumberFormat="1" applyFont="1" applyBorder="1">
      <alignment/>
      <protection/>
    </xf>
    <xf numFmtId="3" fontId="44" fillId="0" borderId="52" xfId="584" applyNumberFormat="1" applyFont="1" applyBorder="1">
      <alignment/>
      <protection/>
    </xf>
    <xf numFmtId="0" fontId="44" fillId="7" borderId="44" xfId="584" applyFont="1" applyFill="1" applyBorder="1">
      <alignment/>
      <protection/>
    </xf>
    <xf numFmtId="164" fontId="44" fillId="7" borderId="45" xfId="584" applyNumberFormat="1" applyFont="1" applyFill="1" applyBorder="1" applyAlignment="1">
      <alignment horizontal="right"/>
      <protection/>
    </xf>
    <xf numFmtId="3" fontId="50" fillId="7" borderId="31" xfId="584" applyNumberFormat="1" applyFont="1" applyFill="1" applyBorder="1" applyAlignment="1">
      <alignment horizontal="right"/>
      <protection/>
    </xf>
    <xf numFmtId="0" fontId="56" fillId="0" borderId="25" xfId="584" applyFont="1" applyBorder="1" applyAlignment="1">
      <alignment horizontal="right"/>
      <protection/>
    </xf>
    <xf numFmtId="0" fontId="1" fillId="0" borderId="52" xfId="584" applyFont="1" applyFill="1" applyBorder="1">
      <alignment/>
      <protection/>
    </xf>
    <xf numFmtId="0" fontId="55" fillId="0" borderId="0" xfId="584" applyFont="1" applyBorder="1" applyAlignment="1">
      <alignment horizontal="center"/>
      <protection/>
    </xf>
    <xf numFmtId="0" fontId="55" fillId="15" borderId="52" xfId="584" applyFont="1" applyFill="1" applyBorder="1">
      <alignment/>
      <protection/>
    </xf>
    <xf numFmtId="0" fontId="55" fillId="0" borderId="0" xfId="584" applyFont="1">
      <alignment/>
      <protection/>
    </xf>
    <xf numFmtId="0" fontId="1" fillId="0" borderId="0" xfId="584" applyFont="1" applyBorder="1" applyAlignment="1">
      <alignment horizontal="center"/>
      <protection/>
    </xf>
    <xf numFmtId="0" fontId="44" fillId="0" borderId="44" xfId="584" applyFont="1" applyBorder="1">
      <alignment/>
      <protection/>
    </xf>
    <xf numFmtId="0" fontId="1" fillId="0" borderId="45" xfId="584" applyFont="1" applyBorder="1" applyAlignment="1">
      <alignment/>
      <protection/>
    </xf>
    <xf numFmtId="0" fontId="56" fillId="0" borderId="0" xfId="584" applyFont="1" applyBorder="1" applyAlignment="1">
      <alignment/>
      <protection/>
    </xf>
    <xf numFmtId="0" fontId="44" fillId="0" borderId="14" xfId="584" applyFont="1" applyBorder="1" applyAlignment="1">
      <alignment/>
      <protection/>
    </xf>
    <xf numFmtId="0" fontId="44" fillId="0" borderId="52" xfId="584" applyFont="1" applyBorder="1" applyAlignment="1">
      <alignment/>
      <protection/>
    </xf>
    <xf numFmtId="0" fontId="53" fillId="10" borderId="0" xfId="584" applyFont="1" applyFill="1" applyBorder="1" applyAlignment="1">
      <alignment horizontal="center"/>
      <protection/>
    </xf>
    <xf numFmtId="0" fontId="1" fillId="10" borderId="0" xfId="584" applyFont="1" applyFill="1" applyBorder="1" applyAlignment="1">
      <alignment/>
      <protection/>
    </xf>
    <xf numFmtId="0" fontId="1" fillId="10" borderId="44" xfId="584" applyFont="1" applyFill="1" applyBorder="1" applyAlignment="1">
      <alignment/>
      <protection/>
    </xf>
    <xf numFmtId="164" fontId="55" fillId="10" borderId="45" xfId="584" applyNumberFormat="1" applyFont="1" applyFill="1" applyBorder="1" applyAlignment="1">
      <alignment/>
      <protection/>
    </xf>
    <xf numFmtId="0" fontId="44" fillId="0" borderId="57" xfId="584" applyFont="1" applyBorder="1" applyAlignment="1">
      <alignment horizontal="center"/>
      <protection/>
    </xf>
    <xf numFmtId="49" fontId="56" fillId="0" borderId="58" xfId="584" applyNumberFormat="1" applyFont="1" applyFill="1" applyBorder="1" applyAlignment="1">
      <alignment horizontal="right"/>
      <protection/>
    </xf>
    <xf numFmtId="0" fontId="44" fillId="8" borderId="66" xfId="584" applyFont="1" applyFill="1" applyBorder="1">
      <alignment/>
      <protection/>
    </xf>
    <xf numFmtId="0" fontId="44" fillId="8" borderId="59" xfId="584" applyFont="1" applyFill="1" applyBorder="1">
      <alignment/>
      <protection/>
    </xf>
    <xf numFmtId="164" fontId="44" fillId="0" borderId="60" xfId="584" applyNumberFormat="1" applyFont="1" applyFill="1" applyBorder="1" applyAlignment="1">
      <alignment horizontal="right"/>
      <protection/>
    </xf>
    <xf numFmtId="3" fontId="44" fillId="0" borderId="59" xfId="584" applyNumberFormat="1" applyFont="1" applyFill="1" applyBorder="1" applyAlignment="1">
      <alignment horizontal="right"/>
      <protection/>
    </xf>
    <xf numFmtId="4" fontId="52" fillId="10" borderId="40" xfId="584" applyNumberFormat="1" applyFont="1" applyFill="1" applyBorder="1" applyAlignment="1">
      <alignment horizontal="center"/>
      <protection/>
    </xf>
    <xf numFmtId="0" fontId="53" fillId="10" borderId="0" xfId="584" applyFont="1" applyFill="1" applyBorder="1" applyAlignment="1">
      <alignment horizontal="left"/>
      <protection/>
    </xf>
    <xf numFmtId="0" fontId="53" fillId="0" borderId="0" xfId="584" applyFont="1" applyFill="1" applyBorder="1" applyAlignment="1">
      <alignment horizontal="right"/>
      <protection/>
    </xf>
    <xf numFmtId="49" fontId="54" fillId="15" borderId="0" xfId="584" applyNumberFormat="1" applyFont="1" applyFill="1" applyBorder="1" applyAlignment="1">
      <alignment horizontal="right"/>
      <protection/>
    </xf>
    <xf numFmtId="164" fontId="50" fillId="7" borderId="45" xfId="584" applyNumberFormat="1" applyFont="1" applyFill="1" applyBorder="1" applyAlignment="1">
      <alignment horizontal="right"/>
      <protection/>
    </xf>
    <xf numFmtId="3" fontId="44" fillId="15" borderId="54" xfId="584" applyNumberFormat="1" applyFont="1" applyFill="1" applyBorder="1" applyAlignment="1">
      <alignment horizontal="right"/>
      <protection/>
    </xf>
    <xf numFmtId="4" fontId="44" fillId="15" borderId="54" xfId="584" applyNumberFormat="1" applyFont="1" applyFill="1" applyBorder="1" applyAlignment="1">
      <alignment horizontal="center"/>
      <protection/>
    </xf>
    <xf numFmtId="164" fontId="50" fillId="0" borderId="14" xfId="584" applyNumberFormat="1" applyFont="1" applyFill="1" applyBorder="1" applyAlignment="1">
      <alignment horizontal="right"/>
      <protection/>
    </xf>
    <xf numFmtId="0" fontId="44" fillId="0" borderId="56" xfId="584" applyFont="1" applyFill="1" applyBorder="1" applyAlignment="1">
      <alignment horizontal="center"/>
      <protection/>
    </xf>
    <xf numFmtId="0" fontId="44" fillId="0" borderId="57" xfId="584" applyFont="1" applyFill="1" applyBorder="1">
      <alignment/>
      <protection/>
    </xf>
    <xf numFmtId="0" fontId="61" fillId="0" borderId="13" xfId="584" applyFont="1" applyFill="1" applyBorder="1">
      <alignment/>
      <protection/>
    </xf>
    <xf numFmtId="0" fontId="61" fillId="0" borderId="52" xfId="584" applyFont="1" applyFill="1" applyBorder="1">
      <alignment/>
      <protection/>
    </xf>
    <xf numFmtId="164" fontId="62" fillId="0" borderId="53" xfId="584" applyNumberFormat="1" applyFont="1" applyFill="1" applyBorder="1" applyAlignment="1">
      <alignment horizontal="right"/>
      <protection/>
    </xf>
    <xf numFmtId="0" fontId="51" fillId="10" borderId="68" xfId="584" applyFont="1" applyFill="1" applyBorder="1" applyAlignment="1">
      <alignment horizontal="center"/>
      <protection/>
    </xf>
    <xf numFmtId="0" fontId="53" fillId="10" borderId="69" xfId="584" applyFont="1" applyFill="1" applyBorder="1" applyAlignment="1">
      <alignment/>
      <protection/>
    </xf>
    <xf numFmtId="0" fontId="44" fillId="10" borderId="69" xfId="584" applyFont="1" applyFill="1" applyBorder="1" applyAlignment="1">
      <alignment/>
      <protection/>
    </xf>
    <xf numFmtId="0" fontId="44" fillId="10" borderId="70" xfId="584" applyFont="1" applyFill="1" applyBorder="1" applyAlignment="1">
      <alignment/>
      <protection/>
    </xf>
    <xf numFmtId="164" fontId="52" fillId="10" borderId="71" xfId="584" applyNumberFormat="1" applyFont="1" applyFill="1" applyBorder="1" applyAlignment="1">
      <alignment/>
      <protection/>
    </xf>
    <xf numFmtId="49" fontId="44" fillId="0" borderId="72" xfId="584" applyNumberFormat="1" applyFont="1" applyFill="1" applyBorder="1" applyAlignment="1">
      <alignment horizontal="center"/>
      <protection/>
    </xf>
    <xf numFmtId="0" fontId="44" fillId="8" borderId="73" xfId="584" applyFont="1" applyFill="1" applyBorder="1">
      <alignment/>
      <protection/>
    </xf>
    <xf numFmtId="0" fontId="44" fillId="8" borderId="74" xfId="584" applyFont="1" applyFill="1" applyBorder="1">
      <alignment/>
      <protection/>
    </xf>
    <xf numFmtId="164" fontId="44" fillId="0" borderId="62" xfId="584" applyNumberFormat="1" applyFont="1" applyFill="1" applyBorder="1" applyAlignment="1">
      <alignment horizontal="right"/>
      <protection/>
    </xf>
    <xf numFmtId="3" fontId="44" fillId="0" borderId="75" xfId="584" applyNumberFormat="1" applyFont="1" applyFill="1" applyBorder="1" applyAlignment="1">
      <alignment horizontal="right"/>
      <protection/>
    </xf>
    <xf numFmtId="4" fontId="44" fillId="0" borderId="75" xfId="584" applyNumberFormat="1" applyFont="1" applyFill="1" applyBorder="1" applyAlignment="1">
      <alignment horizontal="center"/>
      <protection/>
    </xf>
    <xf numFmtId="0" fontId="60" fillId="7" borderId="41" xfId="584" applyFont="1" applyFill="1" applyBorder="1" applyAlignment="1">
      <alignment vertical="center"/>
      <protection/>
    </xf>
    <xf numFmtId="0" fontId="63" fillId="7" borderId="41" xfId="584" applyFont="1" applyFill="1" applyBorder="1" applyAlignment="1">
      <alignment/>
      <protection/>
    </xf>
    <xf numFmtId="0" fontId="63" fillId="7" borderId="42" xfId="584" applyFont="1" applyFill="1" applyBorder="1" applyAlignment="1">
      <alignment/>
      <protection/>
    </xf>
    <xf numFmtId="0" fontId="52" fillId="0" borderId="44" xfId="584" applyFont="1" applyFill="1" applyBorder="1">
      <alignment/>
      <protection/>
    </xf>
    <xf numFmtId="164" fontId="50" fillId="0" borderId="45" xfId="584" applyNumberFormat="1" applyFont="1" applyFill="1" applyBorder="1">
      <alignment/>
      <protection/>
    </xf>
    <xf numFmtId="3" fontId="44" fillId="0" borderId="0" xfId="584" applyNumberFormat="1" applyFont="1" applyFill="1" applyBorder="1">
      <alignment/>
      <protection/>
    </xf>
    <xf numFmtId="0" fontId="52" fillId="0" borderId="52" xfId="584" applyFont="1" applyFill="1" applyBorder="1">
      <alignment/>
      <protection/>
    </xf>
    <xf numFmtId="164" fontId="50" fillId="0" borderId="53" xfId="584" applyNumberFormat="1" applyFont="1" applyFill="1" applyBorder="1">
      <alignment/>
      <protection/>
    </xf>
    <xf numFmtId="3" fontId="44" fillId="0" borderId="14" xfId="584" applyNumberFormat="1" applyFont="1" applyFill="1" applyBorder="1">
      <alignment/>
      <protection/>
    </xf>
    <xf numFmtId="164" fontId="48" fillId="0" borderId="45" xfId="584" applyNumberFormat="1" applyFont="1" applyFill="1" applyBorder="1" applyAlignment="1">
      <alignment/>
      <protection/>
    </xf>
    <xf numFmtId="3" fontId="44" fillId="0" borderId="0" xfId="584" applyNumberFormat="1" applyFont="1" applyFill="1" applyBorder="1" applyAlignment="1">
      <alignment horizontal="right"/>
      <protection/>
    </xf>
    <xf numFmtId="164" fontId="48" fillId="0" borderId="53" xfId="584" applyNumberFormat="1" applyFont="1" applyFill="1" applyBorder="1" applyAlignment="1">
      <alignment/>
      <protection/>
    </xf>
    <xf numFmtId="3" fontId="50" fillId="7" borderId="0" xfId="584" applyNumberFormat="1" applyFont="1" applyFill="1" applyBorder="1" applyAlignment="1">
      <alignment horizontal="right"/>
      <protection/>
    </xf>
    <xf numFmtId="3" fontId="50" fillId="15" borderId="14" xfId="584" applyNumberFormat="1" applyFont="1" applyFill="1" applyBorder="1" applyAlignment="1">
      <alignment horizontal="right"/>
      <protection/>
    </xf>
    <xf numFmtId="3" fontId="50" fillId="3" borderId="0" xfId="584" applyNumberFormat="1" applyFont="1" applyFill="1" applyBorder="1" applyAlignment="1">
      <alignment horizontal="right"/>
      <protection/>
    </xf>
    <xf numFmtId="0" fontId="1" fillId="0" borderId="20" xfId="584" applyFont="1" applyBorder="1" applyAlignment="1">
      <alignment horizontal="center"/>
      <protection/>
    </xf>
    <xf numFmtId="49" fontId="50" fillId="3" borderId="0" xfId="584" applyNumberFormat="1" applyFont="1" applyFill="1" applyBorder="1" applyAlignment="1">
      <alignment horizontal="right"/>
      <protection/>
    </xf>
    <xf numFmtId="0" fontId="44" fillId="3" borderId="44" xfId="584" applyFont="1" applyFill="1" applyBorder="1">
      <alignment/>
      <protection/>
    </xf>
    <xf numFmtId="164" fontId="44" fillId="3" borderId="45" xfId="584" applyNumberFormat="1" applyFont="1" applyFill="1" applyBorder="1" applyAlignment="1">
      <alignment horizontal="right"/>
      <protection/>
    </xf>
    <xf numFmtId="3" fontId="44" fillId="7" borderId="31" xfId="584" applyNumberFormat="1" applyFont="1" applyFill="1" applyBorder="1" applyAlignment="1">
      <alignment horizontal="right"/>
      <protection/>
    </xf>
    <xf numFmtId="3" fontId="44" fillId="7" borderId="0" xfId="584" applyNumberFormat="1" applyFont="1" applyFill="1" applyBorder="1" applyAlignment="1">
      <alignment horizontal="right"/>
      <protection/>
    </xf>
    <xf numFmtId="4" fontId="44" fillId="7" borderId="31" xfId="584" applyNumberFormat="1" applyFont="1" applyFill="1" applyBorder="1" applyAlignment="1">
      <alignment horizontal="center"/>
      <protection/>
    </xf>
    <xf numFmtId="0" fontId="50" fillId="0" borderId="20" xfId="584" applyFont="1" applyBorder="1" applyAlignment="1">
      <alignment horizontal="center"/>
      <protection/>
    </xf>
    <xf numFmtId="49" fontId="44" fillId="0" borderId="13" xfId="584" applyNumberFormat="1" applyFont="1" applyFill="1" applyBorder="1" applyAlignment="1">
      <alignment horizontal="center"/>
      <protection/>
    </xf>
    <xf numFmtId="0" fontId="30" fillId="8" borderId="0" xfId="584" applyFont="1" applyFill="1" applyBorder="1">
      <alignment/>
      <protection/>
    </xf>
    <xf numFmtId="4" fontId="44" fillId="0" borderId="0" xfId="584" applyNumberFormat="1" applyFont="1">
      <alignment/>
      <protection/>
    </xf>
    <xf numFmtId="0" fontId="1" fillId="0" borderId="0" xfId="584" applyFont="1">
      <alignment/>
      <protection/>
    </xf>
    <xf numFmtId="0" fontId="44" fillId="0" borderId="68" xfId="584" applyFont="1" applyFill="1" applyBorder="1" applyAlignment="1">
      <alignment horizontal="center"/>
      <protection/>
    </xf>
    <xf numFmtId="0" fontId="49" fillId="7" borderId="67" xfId="584" applyFont="1" applyFill="1" applyBorder="1" applyAlignment="1">
      <alignment horizontal="left" vertical="center"/>
      <protection/>
    </xf>
    <xf numFmtId="3" fontId="52" fillId="7" borderId="34" xfId="584" applyNumberFormat="1" applyFont="1" applyFill="1" applyBorder="1" applyAlignment="1">
      <alignment/>
      <protection/>
    </xf>
    <xf numFmtId="4" fontId="52" fillId="7" borderId="34" xfId="584" applyNumberFormat="1" applyFont="1" applyFill="1" applyBorder="1" applyAlignment="1">
      <alignment horizontal="center"/>
      <protection/>
    </xf>
    <xf numFmtId="0" fontId="44" fillId="0" borderId="64" xfId="584" applyFont="1" applyFill="1" applyBorder="1" applyAlignment="1">
      <alignment horizontal="center"/>
      <protection/>
    </xf>
    <xf numFmtId="0" fontId="51" fillId="10" borderId="25" xfId="584" applyFont="1" applyFill="1" applyBorder="1" applyAlignment="1">
      <alignment horizontal="center"/>
      <protection/>
    </xf>
    <xf numFmtId="0" fontId="51" fillId="0" borderId="25" xfId="584" applyFont="1" applyFill="1" applyBorder="1" applyAlignment="1">
      <alignment horizontal="center"/>
      <protection/>
    </xf>
    <xf numFmtId="0" fontId="61" fillId="8" borderId="13" xfId="584" applyFont="1" applyFill="1" applyBorder="1">
      <alignment/>
      <protection/>
    </xf>
    <xf numFmtId="0" fontId="64" fillId="8" borderId="52" xfId="584" applyFont="1" applyFill="1" applyBorder="1">
      <alignment/>
      <protection/>
    </xf>
    <xf numFmtId="164" fontId="64" fillId="0" borderId="53" xfId="584" applyNumberFormat="1" applyFont="1" applyFill="1" applyBorder="1" applyAlignment="1">
      <alignment horizontal="right"/>
      <protection/>
    </xf>
    <xf numFmtId="3" fontId="61" fillId="0" borderId="54" xfId="584" applyNumberFormat="1" applyFont="1" applyFill="1" applyBorder="1" applyAlignment="1">
      <alignment horizontal="left"/>
      <protection/>
    </xf>
    <xf numFmtId="3" fontId="61" fillId="0" borderId="14" xfId="584" applyNumberFormat="1" applyFont="1" applyFill="1" applyBorder="1" applyAlignment="1">
      <alignment horizontal="left"/>
      <protection/>
    </xf>
    <xf numFmtId="4" fontId="61" fillId="0" borderId="54" xfId="584" applyNumberFormat="1" applyFont="1" applyFill="1" applyBorder="1" applyAlignment="1">
      <alignment horizontal="center"/>
      <protection/>
    </xf>
    <xf numFmtId="49" fontId="44" fillId="0" borderId="20" xfId="584" applyNumberFormat="1" applyFont="1" applyFill="1" applyBorder="1" applyAlignment="1">
      <alignment horizontal="right"/>
      <protection/>
    </xf>
    <xf numFmtId="0" fontId="51" fillId="8" borderId="25" xfId="584" applyFont="1" applyFill="1" applyBorder="1" applyAlignment="1">
      <alignment horizontal="center"/>
      <protection/>
    </xf>
    <xf numFmtId="0" fontId="53" fillId="8" borderId="76" xfId="584" applyFont="1" applyFill="1" applyBorder="1" applyAlignment="1">
      <alignment/>
      <protection/>
    </xf>
    <xf numFmtId="0" fontId="61" fillId="8" borderId="14" xfId="584" applyFont="1" applyFill="1" applyBorder="1">
      <alignment/>
      <protection/>
    </xf>
    <xf numFmtId="0" fontId="65" fillId="8" borderId="77" xfId="584" applyFont="1" applyFill="1" applyBorder="1">
      <alignment/>
      <protection/>
    </xf>
    <xf numFmtId="164" fontId="62" fillId="8" borderId="78" xfId="584" applyNumberFormat="1" applyFont="1" applyFill="1" applyBorder="1">
      <alignment/>
      <protection/>
    </xf>
    <xf numFmtId="3" fontId="61" fillId="8" borderId="54" xfId="584" applyNumberFormat="1" applyFont="1" applyFill="1" applyBorder="1" applyAlignment="1">
      <alignment/>
      <protection/>
    </xf>
    <xf numFmtId="4" fontId="61" fillId="8" borderId="54" xfId="584" applyNumberFormat="1" applyFont="1" applyFill="1" applyBorder="1" applyAlignment="1">
      <alignment horizontal="center"/>
      <protection/>
    </xf>
    <xf numFmtId="0" fontId="65" fillId="8" borderId="14" xfId="584" applyFont="1" applyFill="1" applyBorder="1">
      <alignment/>
      <protection/>
    </xf>
    <xf numFmtId="164" fontId="62" fillId="8" borderId="14" xfId="584" applyNumberFormat="1" applyFont="1" applyFill="1" applyBorder="1">
      <alignment/>
      <protection/>
    </xf>
    <xf numFmtId="0" fontId="1" fillId="8" borderId="14" xfId="584" applyFont="1" applyFill="1" applyBorder="1">
      <alignment/>
      <protection/>
    </xf>
    <xf numFmtId="164" fontId="50" fillId="8" borderId="14" xfId="584" applyNumberFormat="1" applyFont="1" applyFill="1" applyBorder="1">
      <alignment/>
      <protection/>
    </xf>
    <xf numFmtId="3" fontId="44" fillId="8" borderId="54" xfId="584" applyNumberFormat="1" applyFont="1" applyFill="1" applyBorder="1" applyAlignment="1">
      <alignment/>
      <protection/>
    </xf>
    <xf numFmtId="4" fontId="44" fillId="8" borderId="54" xfId="584" applyNumberFormat="1" applyFont="1" applyFill="1" applyBorder="1" applyAlignment="1">
      <alignment horizontal="center"/>
      <protection/>
    </xf>
    <xf numFmtId="3" fontId="44" fillId="8" borderId="54" xfId="584" applyNumberFormat="1" applyFont="1" applyFill="1" applyBorder="1" applyAlignment="1">
      <alignment horizontal="left"/>
      <protection/>
    </xf>
    <xf numFmtId="3" fontId="61" fillId="8" borderId="54" xfId="584" applyNumberFormat="1" applyFont="1" applyFill="1" applyBorder="1" applyAlignment="1">
      <alignment horizontal="left"/>
      <protection/>
    </xf>
    <xf numFmtId="0" fontId="64" fillId="8" borderId="15" xfId="584" applyFont="1" applyFill="1" applyBorder="1">
      <alignment/>
      <protection/>
    </xf>
    <xf numFmtId="164" fontId="64" fillId="0" borderId="0" xfId="584" applyNumberFormat="1" applyFont="1" applyFill="1" applyBorder="1" applyAlignment="1">
      <alignment horizontal="right"/>
      <protection/>
    </xf>
    <xf numFmtId="3" fontId="61" fillId="8" borderId="16" xfId="584" applyNumberFormat="1" applyFont="1" applyFill="1" applyBorder="1" applyAlignment="1">
      <alignment/>
      <protection/>
    </xf>
    <xf numFmtId="3" fontId="61" fillId="8" borderId="16" xfId="584" applyNumberFormat="1" applyFont="1" applyFill="1" applyBorder="1" applyAlignment="1">
      <alignment horizontal="left"/>
      <protection/>
    </xf>
    <xf numFmtId="4" fontId="61" fillId="8" borderId="16" xfId="584" applyNumberFormat="1" applyFont="1" applyFill="1" applyBorder="1" applyAlignment="1">
      <alignment horizontal="center"/>
      <protection/>
    </xf>
    <xf numFmtId="0" fontId="47" fillId="0" borderId="44" xfId="584" applyFont="1" applyFill="1" applyBorder="1">
      <alignment/>
      <protection/>
    </xf>
    <xf numFmtId="164" fontId="47" fillId="0" borderId="45" xfId="584" applyNumberFormat="1" applyFont="1" applyFill="1" applyBorder="1" applyAlignment="1">
      <alignment horizontal="right"/>
      <protection/>
    </xf>
    <xf numFmtId="0" fontId="44" fillId="0" borderId="58" xfId="584" applyFont="1" applyBorder="1" applyAlignment="1">
      <alignment horizontal="center"/>
      <protection/>
    </xf>
    <xf numFmtId="49" fontId="56" fillId="0" borderId="61" xfId="584" applyNumberFormat="1" applyFont="1" applyFill="1" applyBorder="1" applyAlignment="1">
      <alignment horizontal="right"/>
      <protection/>
    </xf>
    <xf numFmtId="164" fontId="45" fillId="0" borderId="0" xfId="584" applyNumberFormat="1" applyFont="1">
      <alignment/>
      <protection/>
    </xf>
    <xf numFmtId="0" fontId="49" fillId="7" borderId="79" xfId="584" applyFont="1" applyFill="1" applyBorder="1" applyAlignment="1">
      <alignment horizontal="left" vertical="center"/>
      <protection/>
    </xf>
    <xf numFmtId="164" fontId="49" fillId="7" borderId="33" xfId="584" applyNumberFormat="1" applyFont="1" applyFill="1" applyBorder="1">
      <alignment/>
      <protection/>
    </xf>
    <xf numFmtId="0" fontId="52" fillId="7" borderId="31" xfId="584" applyNumberFormat="1" applyFont="1" applyFill="1" applyBorder="1" applyAlignment="1">
      <alignment horizontal="center"/>
      <protection/>
    </xf>
    <xf numFmtId="165" fontId="52" fillId="10" borderId="45" xfId="584" applyNumberFormat="1" applyFont="1" applyFill="1" applyBorder="1" applyAlignment="1">
      <alignment/>
      <protection/>
    </xf>
    <xf numFmtId="165" fontId="50" fillId="7" borderId="45" xfId="584" applyNumberFormat="1" applyFont="1" applyFill="1" applyBorder="1">
      <alignment/>
      <protection/>
    </xf>
    <xf numFmtId="165" fontId="50" fillId="15" borderId="53" xfId="584" applyNumberFormat="1" applyFont="1" applyFill="1" applyBorder="1" applyAlignment="1">
      <alignment horizontal="right"/>
      <protection/>
    </xf>
    <xf numFmtId="3" fontId="52" fillId="10" borderId="31" xfId="584" applyNumberFormat="1" applyFont="1" applyFill="1" applyBorder="1">
      <alignment/>
      <protection/>
    </xf>
    <xf numFmtId="3" fontId="52" fillId="10" borderId="45" xfId="584" applyNumberFormat="1" applyFont="1" applyFill="1" applyBorder="1">
      <alignment/>
      <protection/>
    </xf>
    <xf numFmtId="3" fontId="50" fillId="15" borderId="53" xfId="584" applyNumberFormat="1" applyFont="1" applyFill="1" applyBorder="1" applyAlignment="1">
      <alignment/>
      <protection/>
    </xf>
    <xf numFmtId="164" fontId="44" fillId="7" borderId="0" xfId="584" applyNumberFormat="1" applyFont="1" applyFill="1" applyBorder="1" applyAlignment="1">
      <alignment horizontal="right"/>
      <protection/>
    </xf>
    <xf numFmtId="0" fontId="55" fillId="10" borderId="20" xfId="584" applyFont="1" applyFill="1" applyBorder="1" applyAlignment="1">
      <alignment horizontal="center"/>
      <protection/>
    </xf>
    <xf numFmtId="0" fontId="1" fillId="10" borderId="80" xfId="584" applyFont="1" applyFill="1" applyBorder="1">
      <alignment/>
      <protection/>
    </xf>
    <xf numFmtId="164" fontId="1" fillId="10" borderId="45" xfId="584" applyNumberFormat="1" applyFont="1" applyFill="1" applyBorder="1" applyAlignment="1">
      <alignment horizontal="right"/>
      <protection/>
    </xf>
    <xf numFmtId="3" fontId="44" fillId="7" borderId="45" xfId="584" applyNumberFormat="1" applyFont="1" applyFill="1" applyBorder="1" applyAlignment="1">
      <alignment horizontal="right"/>
      <protection/>
    </xf>
    <xf numFmtId="3" fontId="44" fillId="15" borderId="53" xfId="584" applyNumberFormat="1" applyFont="1" applyFill="1" applyBorder="1" applyAlignment="1">
      <alignment horizontal="right"/>
      <protection/>
    </xf>
    <xf numFmtId="0" fontId="61" fillId="8" borderId="52" xfId="584" applyFont="1" applyFill="1" applyBorder="1">
      <alignment/>
      <protection/>
    </xf>
    <xf numFmtId="164" fontId="61" fillId="0" borderId="53" xfId="584" applyNumberFormat="1" applyFont="1" applyFill="1" applyBorder="1" applyAlignment="1">
      <alignment horizontal="right"/>
      <protection/>
    </xf>
    <xf numFmtId="3" fontId="61" fillId="0" borderId="54" xfId="584" applyNumberFormat="1" applyFont="1" applyFill="1" applyBorder="1" applyAlignment="1">
      <alignment horizontal="right"/>
      <protection/>
    </xf>
    <xf numFmtId="3" fontId="61" fillId="0" borderId="53" xfId="584" applyNumberFormat="1" applyFont="1" applyFill="1" applyBorder="1" applyAlignment="1">
      <alignment horizontal="right"/>
      <protection/>
    </xf>
    <xf numFmtId="164" fontId="44" fillId="0" borderId="55" xfId="584" applyNumberFormat="1" applyFont="1" applyFill="1" applyBorder="1" applyAlignment="1">
      <alignment horizontal="right"/>
      <protection/>
    </xf>
    <xf numFmtId="3" fontId="44" fillId="0" borderId="55" xfId="584" applyNumberFormat="1" applyFont="1" applyBorder="1">
      <alignment/>
      <protection/>
    </xf>
    <xf numFmtId="3" fontId="44" fillId="0" borderId="60" xfId="584" applyNumberFormat="1" applyFont="1" applyFill="1" applyBorder="1" applyAlignment="1">
      <alignment horizontal="right"/>
      <protection/>
    </xf>
    <xf numFmtId="0" fontId="66" fillId="0" borderId="0" xfId="584" applyFont="1">
      <alignment/>
      <protection/>
    </xf>
    <xf numFmtId="0" fontId="24" fillId="0" borderId="0" xfId="584" applyFont="1" applyFill="1" applyBorder="1">
      <alignment/>
      <protection/>
    </xf>
    <xf numFmtId="3" fontId="24" fillId="0" borderId="0" xfId="584" applyNumberFormat="1" applyFont="1" applyFill="1" applyBorder="1" applyAlignment="1">
      <alignment horizontal="right"/>
      <protection/>
    </xf>
    <xf numFmtId="0" fontId="55" fillId="10" borderId="71" xfId="584" applyFont="1" applyFill="1" applyBorder="1" applyAlignment="1">
      <alignment vertical="center"/>
      <protection/>
    </xf>
    <xf numFmtId="0" fontId="55" fillId="10" borderId="70" xfId="584" applyFont="1" applyFill="1" applyBorder="1" applyAlignment="1">
      <alignment vertical="center"/>
      <protection/>
    </xf>
    <xf numFmtId="0" fontId="55" fillId="10" borderId="45" xfId="584" applyFont="1" applyFill="1" applyBorder="1" applyAlignment="1">
      <alignment horizontal="left" vertical="center"/>
      <protection/>
    </xf>
    <xf numFmtId="0" fontId="55" fillId="10" borderId="0" xfId="584" applyFont="1" applyFill="1" applyBorder="1" applyAlignment="1">
      <alignment horizontal="left" vertical="center"/>
      <protection/>
    </xf>
    <xf numFmtId="0" fontId="1" fillId="10" borderId="29" xfId="584" applyFont="1" applyFill="1" applyBorder="1" applyAlignment="1">
      <alignment horizontal="center"/>
      <protection/>
    </xf>
    <xf numFmtId="0" fontId="1" fillId="10" borderId="36" xfId="584" applyFont="1" applyFill="1" applyBorder="1" applyAlignment="1">
      <alignment horizontal="center"/>
      <protection/>
    </xf>
    <xf numFmtId="0" fontId="55" fillId="10" borderId="60" xfId="584" applyFont="1" applyFill="1" applyBorder="1" applyAlignment="1">
      <alignment horizontal="left" vertical="center"/>
      <protection/>
    </xf>
    <xf numFmtId="0" fontId="55" fillId="10" borderId="57" xfId="584" applyFont="1" applyFill="1" applyBorder="1" applyAlignment="1">
      <alignment horizontal="left" vertical="center"/>
      <protection/>
    </xf>
    <xf numFmtId="0" fontId="0" fillId="10" borderId="31" xfId="584" applyFont="1" applyFill="1" applyBorder="1" applyAlignment="1">
      <alignment horizontal="center" vertical="center"/>
      <protection/>
    </xf>
    <xf numFmtId="0" fontId="0" fillId="10" borderId="75" xfId="584" applyFont="1" applyFill="1" applyBorder="1" applyAlignment="1">
      <alignment horizontal="center" vertical="center"/>
      <protection/>
    </xf>
    <xf numFmtId="0" fontId="1" fillId="0" borderId="69" xfId="584" applyFont="1" applyFill="1" applyBorder="1" applyAlignment="1">
      <alignment horizontal="left" vertical="center"/>
      <protection/>
    </xf>
    <xf numFmtId="3" fontId="67" fillId="0" borderId="40" xfId="584" applyNumberFormat="1" applyFont="1" applyBorder="1">
      <alignment/>
      <protection/>
    </xf>
    <xf numFmtId="0" fontId="67" fillId="0" borderId="40" xfId="584" applyFont="1" applyBorder="1">
      <alignment/>
      <protection/>
    </xf>
    <xf numFmtId="0" fontId="1" fillId="0" borderId="53" xfId="584" applyFont="1" applyBorder="1">
      <alignment/>
      <protection/>
    </xf>
    <xf numFmtId="0" fontId="1" fillId="0" borderId="14" xfId="584" applyFont="1" applyBorder="1">
      <alignment/>
      <protection/>
    </xf>
    <xf numFmtId="3" fontId="1" fillId="0" borderId="54" xfId="584" applyNumberFormat="1" applyFont="1" applyBorder="1">
      <alignment/>
      <protection/>
    </xf>
    <xf numFmtId="4" fontId="1" fillId="0" borderId="54" xfId="584" applyNumberFormat="1" applyFont="1" applyBorder="1" applyAlignment="1">
      <alignment horizontal="center"/>
      <protection/>
    </xf>
    <xf numFmtId="0" fontId="1" fillId="0" borderId="45" xfId="584" applyFont="1" applyBorder="1">
      <alignment/>
      <protection/>
    </xf>
    <xf numFmtId="0" fontId="1" fillId="0" borderId="0" xfId="584" applyFont="1" applyBorder="1">
      <alignment/>
      <protection/>
    </xf>
    <xf numFmtId="3" fontId="1" fillId="0" borderId="31" xfId="584" applyNumberFormat="1" applyFont="1" applyBorder="1">
      <alignment/>
      <protection/>
    </xf>
    <xf numFmtId="4" fontId="1" fillId="0" borderId="31" xfId="584" applyNumberFormat="1" applyFont="1" applyBorder="1" applyAlignment="1">
      <alignment horizontal="center"/>
      <protection/>
    </xf>
    <xf numFmtId="0" fontId="55" fillId="15" borderId="26" xfId="584" applyFont="1" applyFill="1" applyBorder="1">
      <alignment/>
      <protection/>
    </xf>
    <xf numFmtId="3" fontId="55" fillId="15" borderId="29" xfId="584" applyNumberFormat="1" applyFont="1" applyFill="1" applyBorder="1">
      <alignment/>
      <protection/>
    </xf>
    <xf numFmtId="4" fontId="55" fillId="15" borderId="29" xfId="584" applyNumberFormat="1" applyFont="1" applyFill="1" applyBorder="1" applyAlignment="1">
      <alignment horizontal="center"/>
      <protection/>
    </xf>
    <xf numFmtId="3" fontId="55" fillId="0" borderId="0" xfId="584" applyNumberFormat="1" applyFont="1">
      <alignment/>
      <protection/>
    </xf>
    <xf numFmtId="0" fontId="55" fillId="0" borderId="45" xfId="584" applyFont="1" applyFill="1" applyBorder="1">
      <alignment/>
      <protection/>
    </xf>
    <xf numFmtId="0" fontId="55" fillId="0" borderId="0" xfId="584" applyFont="1" applyFill="1" applyBorder="1">
      <alignment/>
      <protection/>
    </xf>
    <xf numFmtId="3" fontId="1" fillId="0" borderId="31" xfId="584" applyNumberFormat="1" applyFont="1" applyFill="1" applyBorder="1">
      <alignment/>
      <protection/>
    </xf>
    <xf numFmtId="3" fontId="1" fillId="0" borderId="31" xfId="584" applyNumberFormat="1" applyFont="1" applyFill="1" applyBorder="1" applyAlignment="1">
      <alignment horizontal="center"/>
      <protection/>
    </xf>
    <xf numFmtId="0" fontId="53" fillId="0" borderId="53" xfId="584" applyFont="1" applyFill="1" applyBorder="1">
      <alignment/>
      <protection/>
    </xf>
    <xf numFmtId="0" fontId="53" fillId="0" borderId="14" xfId="584" applyFont="1" applyFill="1" applyBorder="1">
      <alignment/>
      <protection/>
    </xf>
    <xf numFmtId="3" fontId="1" fillId="0" borderId="54" xfId="584" applyNumberFormat="1" applyFont="1" applyBorder="1" applyAlignment="1">
      <alignment horizontal="center"/>
      <protection/>
    </xf>
    <xf numFmtId="0" fontId="1" fillId="0" borderId="64" xfId="584" applyFont="1" applyBorder="1">
      <alignment/>
      <protection/>
    </xf>
    <xf numFmtId="0" fontId="1" fillId="0" borderId="19" xfId="584" applyFont="1" applyBorder="1">
      <alignment/>
      <protection/>
    </xf>
    <xf numFmtId="0" fontId="55" fillId="15" borderId="81" xfId="584" applyFont="1" applyFill="1" applyBorder="1">
      <alignment/>
      <protection/>
    </xf>
    <xf numFmtId="0" fontId="1" fillId="0" borderId="26" xfId="584" applyFont="1" applyBorder="1">
      <alignment/>
      <protection/>
    </xf>
    <xf numFmtId="164" fontId="1" fillId="0" borderId="31" xfId="584" applyNumberFormat="1" applyFont="1" applyBorder="1">
      <alignment/>
      <protection/>
    </xf>
    <xf numFmtId="3" fontId="55" fillId="7" borderId="29" xfId="584" applyNumberFormat="1" applyFont="1" applyFill="1" applyBorder="1">
      <alignment/>
      <protection/>
    </xf>
    <xf numFmtId="4" fontId="55" fillId="7" borderId="29" xfId="584" applyNumberFormat="1" applyFont="1" applyFill="1" applyBorder="1" applyAlignment="1">
      <alignment horizontal="center"/>
      <protection/>
    </xf>
    <xf numFmtId="0" fontId="0" fillId="10" borderId="55" xfId="584" applyFont="1" applyFill="1" applyBorder="1" applyAlignment="1">
      <alignment horizontal="center" vertical="center"/>
      <protection/>
    </xf>
    <xf numFmtId="3" fontId="1" fillId="0" borderId="63" xfId="584" applyNumberFormat="1" applyFont="1" applyFill="1" applyBorder="1" applyAlignment="1">
      <alignment horizontal="right"/>
      <protection/>
    </xf>
    <xf numFmtId="3" fontId="1" fillId="0" borderId="16" xfId="584" applyNumberFormat="1" applyFill="1" applyBorder="1" applyAlignment="1">
      <alignment/>
      <protection/>
    </xf>
    <xf numFmtId="3" fontId="1" fillId="0" borderId="79" xfId="584" applyNumberFormat="1" applyFill="1" applyBorder="1" applyAlignment="1">
      <alignment/>
      <protection/>
    </xf>
    <xf numFmtId="3" fontId="1" fillId="0" borderId="21" xfId="584" applyNumberFormat="1" applyFill="1" applyBorder="1" applyAlignment="1">
      <alignment/>
      <protection/>
    </xf>
    <xf numFmtId="4" fontId="1" fillId="0" borderId="82" xfId="584" applyNumberFormat="1" applyFill="1" applyBorder="1" applyAlignment="1">
      <alignment horizontal="center"/>
      <protection/>
    </xf>
    <xf numFmtId="3" fontId="1" fillId="0" borderId="14" xfId="584" applyNumberFormat="1" applyFill="1" applyBorder="1" applyAlignment="1">
      <alignment/>
      <protection/>
    </xf>
    <xf numFmtId="3" fontId="1" fillId="0" borderId="15" xfId="584" applyNumberFormat="1" applyFill="1" applyBorder="1" applyAlignment="1">
      <alignment/>
      <protection/>
    </xf>
    <xf numFmtId="3" fontId="1" fillId="0" borderId="17" xfId="584" applyNumberFormat="1" applyFill="1" applyBorder="1" applyAlignment="1">
      <alignment/>
      <protection/>
    </xf>
    <xf numFmtId="4" fontId="1" fillId="0" borderId="83" xfId="584" applyNumberFormat="1" applyFill="1" applyBorder="1" applyAlignment="1">
      <alignment horizontal="center"/>
      <protection/>
    </xf>
    <xf numFmtId="4" fontId="1" fillId="0" borderId="52" xfId="584" applyNumberFormat="1" applyFill="1" applyBorder="1" applyAlignment="1">
      <alignment horizontal="center"/>
      <protection/>
    </xf>
    <xf numFmtId="3" fontId="1" fillId="0" borderId="0" xfId="584" applyNumberFormat="1" applyFill="1" applyBorder="1">
      <alignment/>
      <protection/>
    </xf>
    <xf numFmtId="3" fontId="1" fillId="0" borderId="25" xfId="584" applyNumberFormat="1" applyFill="1" applyBorder="1">
      <alignment/>
      <protection/>
    </xf>
    <xf numFmtId="4" fontId="1" fillId="0" borderId="44" xfId="584" applyNumberFormat="1" applyFill="1" applyBorder="1" applyAlignment="1">
      <alignment horizontal="center"/>
      <protection/>
    </xf>
    <xf numFmtId="3" fontId="1" fillId="0" borderId="14" xfId="584" applyNumberFormat="1" applyFont="1" applyFill="1" applyBorder="1">
      <alignment/>
      <protection/>
    </xf>
    <xf numFmtId="3" fontId="1" fillId="0" borderId="16" xfId="584" applyNumberFormat="1" applyFont="1" applyFill="1" applyBorder="1">
      <alignment/>
      <protection/>
    </xf>
    <xf numFmtId="3" fontId="1" fillId="0" borderId="14" xfId="584" applyNumberFormat="1" applyFill="1" applyBorder="1">
      <alignment/>
      <protection/>
    </xf>
    <xf numFmtId="3" fontId="1" fillId="0" borderId="16" xfId="584" applyNumberFormat="1" applyFill="1" applyBorder="1">
      <alignment/>
      <protection/>
    </xf>
    <xf numFmtId="4" fontId="1" fillId="0" borderId="52" xfId="584" applyNumberFormat="1" applyFont="1" applyFill="1" applyBorder="1" applyAlignment="1">
      <alignment horizontal="center"/>
      <protection/>
    </xf>
    <xf numFmtId="3" fontId="1" fillId="0" borderId="22" xfId="584" applyNumberFormat="1" applyFont="1" applyFill="1" applyBorder="1">
      <alignment/>
      <protection/>
    </xf>
    <xf numFmtId="3" fontId="1" fillId="0" borderId="17" xfId="584" applyNumberFormat="1" applyFont="1" applyFill="1" applyBorder="1">
      <alignment/>
      <protection/>
    </xf>
    <xf numFmtId="3" fontId="1" fillId="0" borderId="22" xfId="584" applyNumberFormat="1" applyFill="1" applyBorder="1">
      <alignment/>
      <protection/>
    </xf>
    <xf numFmtId="3" fontId="1" fillId="0" borderId="17" xfId="584" applyNumberFormat="1" applyFill="1" applyBorder="1">
      <alignment/>
      <protection/>
    </xf>
    <xf numFmtId="4" fontId="1" fillId="0" borderId="39" xfId="584" applyNumberFormat="1" applyFill="1" applyBorder="1" applyAlignment="1">
      <alignment horizontal="center"/>
      <protection/>
    </xf>
    <xf numFmtId="0" fontId="1" fillId="0" borderId="0" xfId="584" applyFill="1" applyBorder="1">
      <alignment/>
      <protection/>
    </xf>
    <xf numFmtId="3" fontId="1" fillId="0" borderId="0" xfId="584" applyNumberFormat="1" applyFont="1" applyFill="1" applyBorder="1">
      <alignment/>
      <protection/>
    </xf>
    <xf numFmtId="4" fontId="0" fillId="0" borderId="0" xfId="0" applyNumberFormat="1" applyFont="1" applyBorder="1" applyAlignment="1">
      <alignment horizontal="center"/>
    </xf>
    <xf numFmtId="0" fontId="24" fillId="3" borderId="0" xfId="0" applyFont="1" applyFill="1" applyBorder="1" applyAlignment="1">
      <alignment/>
    </xf>
    <xf numFmtId="0" fontId="68" fillId="7" borderId="13" xfId="0" applyFont="1" applyFill="1" applyBorder="1" applyAlignment="1">
      <alignment/>
    </xf>
    <xf numFmtId="0" fontId="68" fillId="7" borderId="14" xfId="0" applyFont="1" applyFill="1" applyBorder="1" applyAlignment="1">
      <alignment vertical="top"/>
    </xf>
    <xf numFmtId="0" fontId="68" fillId="7" borderId="15" xfId="0" applyFont="1" applyFill="1" applyBorder="1" applyAlignment="1">
      <alignment horizontal="center"/>
    </xf>
    <xf numFmtId="0" fontId="68" fillId="7" borderId="16" xfId="0" applyFont="1" applyFill="1" applyBorder="1" applyAlignment="1">
      <alignment horizontal="justify" vertical="center"/>
    </xf>
    <xf numFmtId="0" fontId="68" fillId="7" borderId="16" xfId="0" applyFont="1" applyFill="1" applyBorder="1" applyAlignment="1">
      <alignment horizontal="center" vertical="center"/>
    </xf>
    <xf numFmtId="0" fontId="68" fillId="7" borderId="17" xfId="0" applyFont="1" applyFill="1" applyBorder="1" applyAlignment="1">
      <alignment horizontal="center" vertical="center"/>
    </xf>
    <xf numFmtId="2" fontId="68" fillId="7" borderId="17" xfId="0" applyNumberFormat="1" applyFont="1" applyFill="1" applyBorder="1" applyAlignment="1">
      <alignment horizontal="justify" vertical="center"/>
    </xf>
    <xf numFmtId="1" fontId="68" fillId="7" borderId="17" xfId="0" applyNumberFormat="1" applyFont="1" applyFill="1" applyBorder="1" applyAlignment="1">
      <alignment horizontal="justify" vertical="top"/>
    </xf>
    <xf numFmtId="1" fontId="68" fillId="7" borderId="17" xfId="0" applyNumberFormat="1" applyFont="1" applyFill="1" applyBorder="1" applyAlignment="1">
      <alignment horizontal="center" vertical="center"/>
    </xf>
    <xf numFmtId="4" fontId="68" fillId="7" borderId="17" xfId="0" applyNumberFormat="1" applyFont="1" applyFill="1" applyBorder="1" applyAlignment="1">
      <alignment horizontal="justify" vertical="center"/>
    </xf>
    <xf numFmtId="2" fontId="68" fillId="7" borderId="16" xfId="0" applyNumberFormat="1" applyFont="1" applyFill="1" applyBorder="1" applyAlignment="1">
      <alignment horizontal="justify" vertical="center"/>
    </xf>
    <xf numFmtId="0" fontId="69" fillId="0" borderId="0" xfId="0" applyFont="1" applyFill="1" applyBorder="1" applyAlignment="1">
      <alignment/>
    </xf>
    <xf numFmtId="0" fontId="28" fillId="15" borderId="13" xfId="0" applyFont="1" applyFill="1" applyBorder="1" applyAlignment="1">
      <alignment/>
    </xf>
    <xf numFmtId="0" fontId="27" fillId="15" borderId="14" xfId="0" applyFont="1" applyFill="1" applyBorder="1" applyAlignment="1">
      <alignment vertical="top"/>
    </xf>
    <xf numFmtId="0" fontId="27" fillId="15" borderId="15" xfId="0" applyFont="1" applyFill="1" applyBorder="1" applyAlignment="1">
      <alignment horizontal="left"/>
    </xf>
    <xf numFmtId="3" fontId="28" fillId="15" borderId="13" xfId="0" applyNumberFormat="1" applyFont="1" applyFill="1" applyBorder="1" applyAlignment="1">
      <alignment horizontal="right"/>
    </xf>
    <xf numFmtId="0" fontId="28" fillId="15" borderId="18" xfId="0" applyFont="1" applyFill="1" applyBorder="1" applyAlignment="1">
      <alignment/>
    </xf>
    <xf numFmtId="3" fontId="28" fillId="15" borderId="17" xfId="0" applyNumberFormat="1" applyFont="1" applyFill="1" applyBorder="1" applyAlignment="1">
      <alignment/>
    </xf>
    <xf numFmtId="3" fontId="36" fillId="15" borderId="17" xfId="0" applyNumberFormat="1" applyFont="1" applyFill="1" applyBorder="1" applyAlignment="1">
      <alignment/>
    </xf>
    <xf numFmtId="4" fontId="28" fillId="15" borderId="17" xfId="0" applyNumberFormat="1" applyFont="1" applyFill="1" applyBorder="1" applyAlignment="1">
      <alignment/>
    </xf>
    <xf numFmtId="2" fontId="36" fillId="15" borderId="17" xfId="0" applyNumberFormat="1" applyFont="1" applyFill="1" applyBorder="1" applyAlignment="1">
      <alignment/>
    </xf>
    <xf numFmtId="2" fontId="31" fillId="15" borderId="16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vertical="top"/>
    </xf>
    <xf numFmtId="0" fontId="30" fillId="0" borderId="15" xfId="0" applyFont="1" applyFill="1" applyBorder="1" applyAlignment="1">
      <alignment horizontal="left"/>
    </xf>
    <xf numFmtId="3" fontId="30" fillId="0" borderId="16" xfId="0" applyNumberFormat="1" applyFont="1" applyFill="1" applyBorder="1" applyAlignment="1">
      <alignment horizontal="right" vertical="top"/>
    </xf>
    <xf numFmtId="3" fontId="30" fillId="0" borderId="23" xfId="0" applyNumberFormat="1" applyFont="1" applyFill="1" applyBorder="1" applyAlignment="1">
      <alignment/>
    </xf>
    <xf numFmtId="1" fontId="30" fillId="0" borderId="23" xfId="0" applyNumberFormat="1" applyFont="1" applyFill="1" applyBorder="1" applyAlignment="1">
      <alignment/>
    </xf>
    <xf numFmtId="4" fontId="30" fillId="0" borderId="17" xfId="0" applyNumberFormat="1" applyFont="1" applyFill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70" fillId="0" borderId="13" xfId="0" applyFont="1" applyBorder="1" applyAlignment="1">
      <alignment/>
    </xf>
    <xf numFmtId="0" fontId="70" fillId="0" borderId="15" xfId="0" applyFont="1" applyFill="1" applyBorder="1" applyAlignment="1">
      <alignment horizontal="left"/>
    </xf>
    <xf numFmtId="3" fontId="30" fillId="0" borderId="17" xfId="0" applyNumberFormat="1" applyFont="1" applyFill="1" applyBorder="1" applyAlignment="1">
      <alignment horizontal="right" vertical="top"/>
    </xf>
    <xf numFmtId="3" fontId="70" fillId="0" borderId="17" xfId="0" applyNumberFormat="1" applyFont="1" applyFill="1" applyBorder="1" applyAlignment="1">
      <alignment horizontal="right"/>
    </xf>
    <xf numFmtId="4" fontId="30" fillId="0" borderId="17" xfId="0" applyNumberFormat="1" applyFont="1" applyFill="1" applyBorder="1" applyAlignment="1">
      <alignment horizontal="center"/>
    </xf>
    <xf numFmtId="3" fontId="70" fillId="0" borderId="18" xfId="0" applyNumberFormat="1" applyFont="1" applyFill="1" applyBorder="1" applyAlignment="1">
      <alignment horizontal="right"/>
    </xf>
    <xf numFmtId="0" fontId="71" fillId="0" borderId="17" xfId="0" applyFont="1" applyFill="1" applyBorder="1" applyAlignment="1">
      <alignment/>
    </xf>
    <xf numFmtId="0" fontId="72" fillId="0" borderId="23" xfId="0" applyFont="1" applyFill="1" applyBorder="1" applyAlignment="1">
      <alignment horizontal="left"/>
    </xf>
    <xf numFmtId="1" fontId="70" fillId="0" borderId="23" xfId="0" applyNumberFormat="1" applyFont="1" applyFill="1" applyBorder="1" applyAlignment="1">
      <alignment horizontal="left"/>
    </xf>
    <xf numFmtId="4" fontId="70" fillId="0" borderId="17" xfId="0" applyNumberFormat="1" applyFont="1" applyFill="1" applyBorder="1" applyAlignment="1">
      <alignment/>
    </xf>
    <xf numFmtId="2" fontId="32" fillId="0" borderId="17" xfId="0" applyNumberFormat="1" applyFont="1" applyFill="1" applyBorder="1" applyAlignment="1">
      <alignment/>
    </xf>
    <xf numFmtId="0" fontId="71" fillId="0" borderId="13" xfId="0" applyFont="1" applyBorder="1" applyAlignment="1">
      <alignment/>
    </xf>
    <xf numFmtId="0" fontId="71" fillId="0" borderId="14" xfId="0" applyFont="1" applyFill="1" applyBorder="1" applyAlignment="1">
      <alignment vertical="top"/>
    </xf>
    <xf numFmtId="0" fontId="70" fillId="0" borderId="14" xfId="0" applyFont="1" applyFill="1" applyBorder="1" applyAlignment="1">
      <alignment horizontal="left"/>
    </xf>
    <xf numFmtId="3" fontId="70" fillId="0" borderId="16" xfId="0" applyNumberFormat="1" applyFont="1" applyFill="1" applyBorder="1" applyAlignment="1">
      <alignment horizontal="right"/>
    </xf>
    <xf numFmtId="0" fontId="71" fillId="0" borderId="16" xfId="0" applyFont="1" applyFill="1" applyBorder="1" applyAlignment="1">
      <alignment/>
    </xf>
    <xf numFmtId="0" fontId="72" fillId="0" borderId="16" xfId="0" applyFont="1" applyFill="1" applyBorder="1" applyAlignment="1">
      <alignment horizontal="left"/>
    </xf>
    <xf numFmtId="1" fontId="70" fillId="0" borderId="16" xfId="0" applyNumberFormat="1" applyFont="1" applyFill="1" applyBorder="1" applyAlignment="1">
      <alignment horizontal="left"/>
    </xf>
    <xf numFmtId="2" fontId="30" fillId="0" borderId="16" xfId="0" applyNumberFormat="1" applyFont="1" applyFill="1" applyBorder="1" applyAlignment="1">
      <alignment/>
    </xf>
    <xf numFmtId="3" fontId="30" fillId="0" borderId="16" xfId="616" applyNumberFormat="1" applyFont="1" applyFill="1" applyBorder="1" applyAlignment="1" applyProtection="1">
      <alignment horizontal="right"/>
      <protection/>
    </xf>
    <xf numFmtId="4" fontId="30" fillId="0" borderId="16" xfId="616" applyNumberFormat="1" applyFont="1" applyFill="1" applyBorder="1" applyAlignment="1" applyProtection="1">
      <alignment horizontal="center"/>
      <protection/>
    </xf>
    <xf numFmtId="1" fontId="30" fillId="0" borderId="16" xfId="0" applyNumberFormat="1" applyFont="1" applyBorder="1" applyAlignment="1">
      <alignment/>
    </xf>
    <xf numFmtId="0" fontId="31" fillId="8" borderId="13" xfId="0" applyFont="1" applyFill="1" applyBorder="1" applyAlignment="1">
      <alignment horizontal="right"/>
    </xf>
    <xf numFmtId="0" fontId="31" fillId="8" borderId="14" xfId="0" applyFont="1" applyFill="1" applyBorder="1" applyAlignment="1">
      <alignment/>
    </xf>
    <xf numFmtId="3" fontId="31" fillId="8" borderId="16" xfId="0" applyNumberFormat="1" applyFont="1" applyFill="1" applyBorder="1" applyAlignment="1">
      <alignment horizontal="right"/>
    </xf>
    <xf numFmtId="4" fontId="31" fillId="8" borderId="16" xfId="0" applyNumberFormat="1" applyFont="1" applyFill="1" applyBorder="1" applyAlignment="1">
      <alignment horizontal="center"/>
    </xf>
    <xf numFmtId="0" fontId="24" fillId="8" borderId="16" xfId="0" applyFont="1" applyFill="1" applyBorder="1" applyAlignment="1">
      <alignment/>
    </xf>
    <xf numFmtId="3" fontId="31" fillId="8" borderId="16" xfId="0" applyNumberFormat="1" applyFont="1" applyFill="1" applyBorder="1" applyAlignment="1">
      <alignment/>
    </xf>
    <xf numFmtId="1" fontId="31" fillId="8" borderId="16" xfId="0" applyNumberFormat="1" applyFont="1" applyFill="1" applyBorder="1" applyAlignment="1">
      <alignment/>
    </xf>
    <xf numFmtId="4" fontId="31" fillId="8" borderId="16" xfId="0" applyNumberFormat="1" applyFont="1" applyFill="1" applyBorder="1" applyAlignment="1">
      <alignment/>
    </xf>
    <xf numFmtId="2" fontId="37" fillId="8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73" fillId="0" borderId="13" xfId="0" applyFont="1" applyFill="1" applyBorder="1" applyAlignment="1">
      <alignment/>
    </xf>
    <xf numFmtId="0" fontId="73" fillId="0" borderId="14" xfId="0" applyFont="1" applyFill="1" applyBorder="1" applyAlignment="1">
      <alignment/>
    </xf>
    <xf numFmtId="3" fontId="74" fillId="0" borderId="16" xfId="0" applyNumberFormat="1" applyFont="1" applyFill="1" applyBorder="1" applyAlignment="1">
      <alignment horizontal="right"/>
    </xf>
    <xf numFmtId="4" fontId="74" fillId="0" borderId="16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/>
    </xf>
    <xf numFmtId="0" fontId="73" fillId="0" borderId="16" xfId="0" applyFont="1" applyFill="1" applyBorder="1" applyAlignment="1">
      <alignment/>
    </xf>
    <xf numFmtId="3" fontId="73" fillId="0" borderId="16" xfId="0" applyNumberFormat="1" applyFont="1" applyFill="1" applyBorder="1" applyAlignment="1">
      <alignment/>
    </xf>
    <xf numFmtId="1" fontId="73" fillId="0" borderId="16" xfId="0" applyNumberFormat="1" applyFont="1" applyFill="1" applyBorder="1" applyAlignment="1">
      <alignment/>
    </xf>
    <xf numFmtId="4" fontId="73" fillId="0" borderId="16" xfId="0" applyNumberFormat="1" applyFont="1" applyFill="1" applyBorder="1" applyAlignment="1">
      <alignment/>
    </xf>
    <xf numFmtId="0" fontId="73" fillId="0" borderId="18" xfId="0" applyFont="1" applyFill="1" applyBorder="1" applyAlignment="1">
      <alignment/>
    </xf>
    <xf numFmtId="0" fontId="73" fillId="0" borderId="22" xfId="0" applyFont="1" applyFill="1" applyBorder="1" applyAlignment="1">
      <alignment/>
    </xf>
    <xf numFmtId="3" fontId="74" fillId="0" borderId="16" xfId="0" applyNumberFormat="1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70" fillId="0" borderId="14" xfId="0" applyFont="1" applyFill="1" applyBorder="1" applyAlignment="1">
      <alignment/>
    </xf>
    <xf numFmtId="0" fontId="76" fillId="0" borderId="14" xfId="0" applyFont="1" applyFill="1" applyBorder="1" applyAlignment="1">
      <alignment/>
    </xf>
    <xf numFmtId="3" fontId="77" fillId="0" borderId="16" xfId="0" applyNumberFormat="1" applyFont="1" applyFill="1" applyBorder="1" applyAlignment="1">
      <alignment horizontal="right"/>
    </xf>
    <xf numFmtId="4" fontId="77" fillId="0" borderId="16" xfId="0" applyNumberFormat="1" applyFont="1" applyFill="1" applyBorder="1" applyAlignment="1">
      <alignment horizontal="center"/>
    </xf>
    <xf numFmtId="0" fontId="78" fillId="0" borderId="16" xfId="0" applyFont="1" applyFill="1" applyBorder="1" applyAlignment="1">
      <alignment/>
    </xf>
    <xf numFmtId="3" fontId="77" fillId="0" borderId="16" xfId="0" applyNumberFormat="1" applyFont="1" applyFill="1" applyBorder="1" applyAlignment="1">
      <alignment/>
    </xf>
    <xf numFmtId="0" fontId="76" fillId="0" borderId="16" xfId="0" applyFont="1" applyFill="1" applyBorder="1" applyAlignment="1">
      <alignment/>
    </xf>
    <xf numFmtId="3" fontId="76" fillId="0" borderId="16" xfId="0" applyNumberFormat="1" applyFont="1" applyFill="1" applyBorder="1" applyAlignment="1">
      <alignment/>
    </xf>
    <xf numFmtId="4" fontId="70" fillId="0" borderId="16" xfId="0" applyNumberFormat="1" applyFont="1" applyFill="1" applyBorder="1" applyAlignment="1">
      <alignment/>
    </xf>
    <xf numFmtId="4" fontId="76" fillId="0" borderId="16" xfId="0" applyNumberFormat="1" applyFont="1" applyFill="1" applyBorder="1" applyAlignment="1">
      <alignment/>
    </xf>
    <xf numFmtId="2" fontId="70" fillId="0" borderId="16" xfId="0" applyNumberFormat="1" applyFont="1" applyFill="1" applyBorder="1" applyAlignment="1">
      <alignment/>
    </xf>
    <xf numFmtId="0" fontId="79" fillId="0" borderId="16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4" fillId="0" borderId="24" xfId="0" applyFont="1" applyFill="1" applyBorder="1" applyAlignment="1">
      <alignment/>
    </xf>
    <xf numFmtId="0" fontId="74" fillId="0" borderId="63" xfId="0" applyFont="1" applyFill="1" applyBorder="1" applyAlignment="1">
      <alignment/>
    </xf>
    <xf numFmtId="4" fontId="74" fillId="0" borderId="16" xfId="0" applyNumberFormat="1" applyFont="1" applyFill="1" applyBorder="1" applyAlignment="1">
      <alignment horizontal="right"/>
    </xf>
    <xf numFmtId="2" fontId="36" fillId="0" borderId="16" xfId="0" applyNumberFormat="1" applyFont="1" applyFill="1" applyBorder="1" applyAlignment="1">
      <alignment horizontal="right"/>
    </xf>
    <xf numFmtId="0" fontId="30" fillId="0" borderId="24" xfId="0" applyFont="1" applyFill="1" applyBorder="1" applyAlignment="1">
      <alignment/>
    </xf>
    <xf numFmtId="0" fontId="30" fillId="0" borderId="63" xfId="0" applyFont="1" applyFill="1" applyBorder="1" applyAlignment="1">
      <alignment/>
    </xf>
    <xf numFmtId="3" fontId="34" fillId="0" borderId="16" xfId="0" applyNumberFormat="1" applyFont="1" applyFill="1" applyBorder="1" applyAlignment="1">
      <alignment horizontal="right"/>
    </xf>
    <xf numFmtId="2" fontId="30" fillId="0" borderId="16" xfId="0" applyNumberFormat="1" applyFont="1" applyFill="1" applyBorder="1" applyAlignment="1">
      <alignment horizontal="left"/>
    </xf>
    <xf numFmtId="167" fontId="30" fillId="0" borderId="14" xfId="423" applyFont="1" applyFill="1" applyBorder="1" applyAlignment="1" applyProtection="1">
      <alignment horizontal="left"/>
      <protection/>
    </xf>
    <xf numFmtId="2" fontId="32" fillId="0" borderId="16" xfId="0" applyNumberFormat="1" applyFont="1" applyFill="1" applyBorder="1" applyAlignment="1">
      <alignment horizontal="left"/>
    </xf>
    <xf numFmtId="0" fontId="70" fillId="0" borderId="14" xfId="0" applyFont="1" applyBorder="1" applyAlignment="1">
      <alignment/>
    </xf>
    <xf numFmtId="3" fontId="71" fillId="0" borderId="16" xfId="0" applyNumberFormat="1" applyFont="1" applyBorder="1" applyAlignment="1">
      <alignment horizontal="right"/>
    </xf>
    <xf numFmtId="3" fontId="70" fillId="0" borderId="16" xfId="0" applyNumberFormat="1" applyFont="1" applyBorder="1" applyAlignment="1">
      <alignment horizontal="right"/>
    </xf>
    <xf numFmtId="3" fontId="80" fillId="0" borderId="16" xfId="0" applyNumberFormat="1" applyFont="1" applyFill="1" applyBorder="1" applyAlignment="1">
      <alignment horizontal="right"/>
    </xf>
    <xf numFmtId="0" fontId="72" fillId="0" borderId="16" xfId="0" applyFont="1" applyBorder="1" applyAlignment="1">
      <alignment horizontal="left"/>
    </xf>
    <xf numFmtId="1" fontId="70" fillId="0" borderId="16" xfId="0" applyNumberFormat="1" applyFont="1" applyBorder="1" applyAlignment="1">
      <alignment horizontal="left"/>
    </xf>
    <xf numFmtId="4" fontId="70" fillId="0" borderId="16" xfId="0" applyNumberFormat="1" applyFont="1" applyBorder="1" applyAlignment="1">
      <alignment/>
    </xf>
    <xf numFmtId="4" fontId="76" fillId="0" borderId="16" xfId="0" applyNumberFormat="1" applyFont="1" applyBorder="1" applyAlignment="1">
      <alignment/>
    </xf>
    <xf numFmtId="0" fontId="79" fillId="0" borderId="21" xfId="0" applyFont="1" applyBorder="1" applyAlignment="1">
      <alignment/>
    </xf>
    <xf numFmtId="2" fontId="33" fillId="0" borderId="16" xfId="0" applyNumberFormat="1" applyFont="1" applyFill="1" applyBorder="1" applyAlignment="1">
      <alignment horizontal="left"/>
    </xf>
    <xf numFmtId="4" fontId="38" fillId="8" borderId="16" xfId="0" applyNumberFormat="1" applyFont="1" applyFill="1" applyBorder="1" applyAlignment="1">
      <alignment horizontal="center"/>
    </xf>
    <xf numFmtId="4" fontId="70" fillId="8" borderId="16" xfId="0" applyNumberFormat="1" applyFont="1" applyFill="1" applyBorder="1" applyAlignment="1">
      <alignment horizontal="center"/>
    </xf>
    <xf numFmtId="0" fontId="79" fillId="0" borderId="16" xfId="0" applyFont="1" applyBorder="1" applyAlignment="1">
      <alignment/>
    </xf>
    <xf numFmtId="3" fontId="70" fillId="0" borderId="16" xfId="0" applyNumberFormat="1" applyFont="1" applyBorder="1" applyAlignment="1">
      <alignment/>
    </xf>
    <xf numFmtId="0" fontId="70" fillId="0" borderId="16" xfId="0" applyFont="1" applyBorder="1" applyAlignment="1">
      <alignment/>
    </xf>
    <xf numFmtId="0" fontId="79" fillId="0" borderId="0" xfId="0" applyFont="1" applyBorder="1" applyAlignment="1">
      <alignment/>
    </xf>
    <xf numFmtId="1" fontId="74" fillId="0" borderId="16" xfId="0" applyNumberFormat="1" applyFont="1" applyFill="1" applyBorder="1" applyAlignment="1">
      <alignment/>
    </xf>
    <xf numFmtId="4" fontId="74" fillId="0" borderId="16" xfId="0" applyNumberFormat="1" applyFont="1" applyFill="1" applyBorder="1" applyAlignment="1">
      <alignment/>
    </xf>
    <xf numFmtId="2" fontId="36" fillId="0" borderId="16" xfId="0" applyNumberFormat="1" applyFont="1" applyFill="1" applyBorder="1" applyAlignment="1">
      <alignment/>
    </xf>
    <xf numFmtId="0" fontId="30" fillId="0" borderId="63" xfId="0" applyFont="1" applyBorder="1" applyAlignment="1">
      <alignment/>
    </xf>
    <xf numFmtId="0" fontId="70" fillId="0" borderId="24" xfId="0" applyFont="1" applyBorder="1" applyAlignment="1">
      <alignment/>
    </xf>
    <xf numFmtId="0" fontId="70" fillId="0" borderId="63" xfId="0" applyFont="1" applyBorder="1" applyAlignment="1">
      <alignment/>
    </xf>
    <xf numFmtId="4" fontId="70" fillId="0" borderId="16" xfId="0" applyNumberFormat="1" applyFont="1" applyBorder="1" applyAlignment="1">
      <alignment horizontal="center"/>
    </xf>
    <xf numFmtId="0" fontId="74" fillId="0" borderId="13" xfId="0" applyFont="1" applyFill="1" applyBorder="1" applyAlignment="1">
      <alignment/>
    </xf>
    <xf numFmtId="0" fontId="74" fillId="0" borderId="14" xfId="0" applyFont="1" applyFill="1" applyBorder="1" applyAlignment="1">
      <alignment/>
    </xf>
    <xf numFmtId="2" fontId="29" fillId="0" borderId="16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2" fontId="74" fillId="0" borderId="16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2" fillId="0" borderId="16" xfId="0" applyFont="1" applyBorder="1" applyAlignment="1">
      <alignment/>
    </xf>
    <xf numFmtId="2" fontId="33" fillId="0" borderId="16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3" fontId="34" fillId="0" borderId="16" xfId="0" applyNumberFormat="1" applyFont="1" applyBorder="1" applyAlignment="1">
      <alignment horizontal="right"/>
    </xf>
    <xf numFmtId="0" fontId="34" fillId="0" borderId="16" xfId="0" applyFont="1" applyBorder="1" applyAlignment="1">
      <alignment horizontal="left"/>
    </xf>
    <xf numFmtId="4" fontId="30" fillId="0" borderId="0" xfId="0" applyNumberFormat="1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4" fontId="30" fillId="0" borderId="0" xfId="0" applyNumberFormat="1" applyFont="1" applyBorder="1" applyAlignment="1">
      <alignment/>
    </xf>
    <xf numFmtId="3" fontId="72" fillId="0" borderId="16" xfId="0" applyNumberFormat="1" applyFont="1" applyBorder="1" applyAlignment="1">
      <alignment horizontal="left"/>
    </xf>
    <xf numFmtId="4" fontId="70" fillId="0" borderId="16" xfId="0" applyNumberFormat="1" applyFont="1" applyBorder="1" applyAlignment="1">
      <alignment horizontal="left"/>
    </xf>
    <xf numFmtId="3" fontId="81" fillId="0" borderId="16" xfId="0" applyNumberFormat="1" applyFont="1" applyBorder="1" applyAlignment="1">
      <alignment horizontal="right"/>
    </xf>
    <xf numFmtId="2" fontId="82" fillId="0" borderId="16" xfId="0" applyNumberFormat="1" applyFont="1" applyFill="1" applyBorder="1" applyAlignment="1">
      <alignment horizontal="left"/>
    </xf>
    <xf numFmtId="4" fontId="30" fillId="8" borderId="16" xfId="0" applyNumberFormat="1" applyFont="1" applyFill="1" applyBorder="1" applyAlignment="1">
      <alignment horizontal="center"/>
    </xf>
    <xf numFmtId="0" fontId="70" fillId="0" borderId="18" xfId="0" applyFont="1" applyBorder="1" applyAlignment="1">
      <alignment/>
    </xf>
    <xf numFmtId="0" fontId="70" fillId="0" borderId="22" xfId="0" applyFont="1" applyBorder="1" applyAlignment="1">
      <alignment/>
    </xf>
    <xf numFmtId="3" fontId="72" fillId="0" borderId="16" xfId="0" applyNumberFormat="1" applyFont="1" applyBorder="1" applyAlignment="1">
      <alignment horizontal="right"/>
    </xf>
    <xf numFmtId="0" fontId="71" fillId="0" borderId="16" xfId="0" applyFont="1" applyBorder="1" applyAlignment="1">
      <alignment/>
    </xf>
    <xf numFmtId="2" fontId="35" fillId="0" borderId="16" xfId="0" applyNumberFormat="1" applyFont="1" applyFill="1" applyBorder="1" applyAlignment="1">
      <alignment horizontal="left"/>
    </xf>
    <xf numFmtId="0" fontId="74" fillId="0" borderId="13" xfId="0" applyFont="1" applyFill="1" applyBorder="1" applyAlignment="1">
      <alignment horizontal="right"/>
    </xf>
    <xf numFmtId="3" fontId="83" fillId="0" borderId="16" xfId="0" applyNumberFormat="1" applyFont="1" applyFill="1" applyBorder="1" applyAlignment="1">
      <alignment horizontal="right"/>
    </xf>
    <xf numFmtId="0" fontId="84" fillId="0" borderId="16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30" fillId="0" borderId="24" xfId="0" applyFont="1" applyFill="1" applyBorder="1" applyAlignment="1">
      <alignment horizontal="right"/>
    </xf>
    <xf numFmtId="3" fontId="30" fillId="0" borderId="16" xfId="0" applyNumberFormat="1" applyFont="1" applyFill="1" applyBorder="1" applyAlignment="1">
      <alignment horizontal="left"/>
    </xf>
    <xf numFmtId="3" fontId="34" fillId="0" borderId="16" xfId="0" applyNumberFormat="1" applyFont="1" applyFill="1" applyBorder="1" applyAlignment="1">
      <alignment horizontal="left"/>
    </xf>
    <xf numFmtId="4" fontId="30" fillId="0" borderId="16" xfId="0" applyNumberFormat="1" applyFont="1" applyFill="1" applyBorder="1" applyAlignment="1">
      <alignment horizontal="left"/>
    </xf>
    <xf numFmtId="4" fontId="30" fillId="0" borderId="16" xfId="0" applyNumberFormat="1" applyFont="1" applyBorder="1" applyAlignment="1">
      <alignment horizontal="left"/>
    </xf>
    <xf numFmtId="0" fontId="33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168" fontId="28" fillId="15" borderId="13" xfId="0" applyNumberFormat="1" applyFont="1" applyFill="1" applyBorder="1" applyAlignment="1">
      <alignment horizontal="left"/>
    </xf>
    <xf numFmtId="0" fontId="27" fillId="15" borderId="14" xfId="0" applyFont="1" applyFill="1" applyBorder="1" applyAlignment="1">
      <alignment/>
    </xf>
    <xf numFmtId="3" fontId="28" fillId="15" borderId="16" xfId="0" applyNumberFormat="1" applyFont="1" applyFill="1" applyBorder="1" applyAlignment="1">
      <alignment/>
    </xf>
    <xf numFmtId="4" fontId="28" fillId="15" borderId="16" xfId="0" applyNumberFormat="1" applyFont="1" applyFill="1" applyBorder="1" applyAlignment="1">
      <alignment/>
    </xf>
    <xf numFmtId="0" fontId="28" fillId="15" borderId="16" xfId="0" applyFont="1" applyFill="1" applyBorder="1" applyAlignment="1">
      <alignment/>
    </xf>
    <xf numFmtId="2" fontId="36" fillId="15" borderId="16" xfId="0" applyNumberFormat="1" applyFont="1" applyFill="1" applyBorder="1" applyAlignment="1">
      <alignment/>
    </xf>
    <xf numFmtId="0" fontId="30" fillId="0" borderId="63" xfId="0" applyFont="1" applyFill="1" applyBorder="1" applyAlignment="1">
      <alignment horizontal="left"/>
    </xf>
    <xf numFmtId="2" fontId="32" fillId="0" borderId="16" xfId="0" applyNumberFormat="1" applyFont="1" applyFill="1" applyBorder="1" applyAlignment="1">
      <alignment/>
    </xf>
    <xf numFmtId="2" fontId="30" fillId="0" borderId="16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7" fillId="15" borderId="22" xfId="0" applyFont="1" applyFill="1" applyBorder="1" applyAlignment="1">
      <alignment/>
    </xf>
    <xf numFmtId="2" fontId="28" fillId="15" borderId="16" xfId="0" applyNumberFormat="1" applyFont="1" applyFill="1" applyBorder="1" applyAlignment="1">
      <alignment/>
    </xf>
    <xf numFmtId="0" fontId="30" fillId="0" borderId="14" xfId="0" applyFont="1" applyFill="1" applyBorder="1" applyAlignment="1">
      <alignment horizontal="left"/>
    </xf>
    <xf numFmtId="2" fontId="70" fillId="0" borderId="16" xfId="0" applyNumberFormat="1" applyFont="1" applyBorder="1" applyAlignment="1">
      <alignment/>
    </xf>
    <xf numFmtId="0" fontId="70" fillId="0" borderId="16" xfId="0" applyFont="1" applyBorder="1" applyAlignment="1">
      <alignment horizontal="left"/>
    </xf>
    <xf numFmtId="3" fontId="70" fillId="0" borderId="16" xfId="0" applyNumberFormat="1" applyFont="1" applyBorder="1" applyAlignment="1">
      <alignment horizontal="left"/>
    </xf>
    <xf numFmtId="49" fontId="24" fillId="4" borderId="13" xfId="0" applyNumberFormat="1" applyFont="1" applyFill="1" applyBorder="1" applyAlignment="1">
      <alignment horizontal="right"/>
    </xf>
    <xf numFmtId="0" fontId="30" fillId="4" borderId="15" xfId="0" applyFont="1" applyFill="1" applyBorder="1" applyAlignment="1">
      <alignment/>
    </xf>
    <xf numFmtId="0" fontId="24" fillId="4" borderId="16" xfId="0" applyFont="1" applyFill="1" applyBorder="1" applyAlignment="1">
      <alignment/>
    </xf>
    <xf numFmtId="3" fontId="31" fillId="4" borderId="21" xfId="0" applyNumberFormat="1" applyFont="1" applyFill="1" applyBorder="1" applyAlignment="1">
      <alignment horizontal="right"/>
    </xf>
    <xf numFmtId="4" fontId="31" fillId="4" borderId="21" xfId="0" applyNumberFormat="1" applyFont="1" applyFill="1" applyBorder="1" applyAlignment="1">
      <alignment horizontal="right"/>
    </xf>
    <xf numFmtId="4" fontId="31" fillId="4" borderId="21" xfId="0" applyNumberFormat="1" applyFont="1" applyFill="1" applyBorder="1" applyAlignment="1">
      <alignment horizontal="center"/>
    </xf>
    <xf numFmtId="3" fontId="31" fillId="4" borderId="24" xfId="0" applyNumberFormat="1" applyFont="1" applyFill="1" applyBorder="1" applyAlignment="1">
      <alignment horizontal="right"/>
    </xf>
    <xf numFmtId="3" fontId="37" fillId="4" borderId="21" xfId="0" applyNumberFormat="1" applyFont="1" applyFill="1" applyBorder="1" applyAlignment="1">
      <alignment horizontal="right"/>
    </xf>
    <xf numFmtId="2" fontId="37" fillId="4" borderId="21" xfId="0" applyNumberFormat="1" applyFont="1" applyFill="1" applyBorder="1" applyAlignment="1">
      <alignment horizontal="right"/>
    </xf>
    <xf numFmtId="2" fontId="31" fillId="4" borderId="16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4" fontId="30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right"/>
    </xf>
    <xf numFmtId="0" fontId="68" fillId="7" borderId="17" xfId="0" applyFont="1" applyFill="1" applyBorder="1" applyAlignment="1">
      <alignment horizontal="justify" vertical="center"/>
    </xf>
    <xf numFmtId="1" fontId="28" fillId="15" borderId="16" xfId="0" applyNumberFormat="1" applyFont="1" applyFill="1" applyBorder="1" applyAlignment="1">
      <alignment/>
    </xf>
    <xf numFmtId="0" fontId="31" fillId="15" borderId="16" xfId="0" applyFont="1" applyFill="1" applyBorder="1" applyAlignment="1">
      <alignment/>
    </xf>
    <xf numFmtId="0" fontId="37" fillId="15" borderId="16" xfId="0" applyFont="1" applyFill="1" applyBorder="1" applyAlignment="1">
      <alignment/>
    </xf>
    <xf numFmtId="2" fontId="31" fillId="15" borderId="16" xfId="0" applyNumberFormat="1" applyFont="1" applyFill="1" applyBorder="1" applyAlignment="1">
      <alignment/>
    </xf>
    <xf numFmtId="2" fontId="37" fillId="15" borderId="1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right"/>
    </xf>
    <xf numFmtId="2" fontId="28" fillId="4" borderId="21" xfId="0" applyNumberFormat="1" applyFont="1" applyFill="1" applyBorder="1" applyAlignment="1">
      <alignment/>
    </xf>
    <xf numFmtId="0" fontId="28" fillId="4" borderId="21" xfId="0" applyFont="1" applyFill="1" applyBorder="1" applyAlignment="1">
      <alignment/>
    </xf>
    <xf numFmtId="0" fontId="36" fillId="4" borderId="21" xfId="0" applyFont="1" applyFill="1" applyBorder="1" applyAlignment="1">
      <alignment/>
    </xf>
    <xf numFmtId="2" fontId="36" fillId="4" borderId="21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/>
    </xf>
    <xf numFmtId="3" fontId="36" fillId="15" borderId="16" xfId="0" applyNumberFormat="1" applyFont="1" applyFill="1" applyBorder="1" applyAlignment="1">
      <alignment/>
    </xf>
    <xf numFmtId="4" fontId="36" fillId="15" borderId="16" xfId="0" applyNumberFormat="1" applyFont="1" applyFill="1" applyBorder="1" applyAlignment="1">
      <alignment/>
    </xf>
    <xf numFmtId="2" fontId="33" fillId="0" borderId="16" xfId="0" applyNumberFormat="1" applyFont="1" applyFill="1" applyBorder="1" applyAlignment="1">
      <alignment horizontal="center"/>
    </xf>
    <xf numFmtId="2" fontId="30" fillId="8" borderId="1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31" fillId="15" borderId="16" xfId="0" applyNumberFormat="1" applyFont="1" applyFill="1" applyBorder="1" applyAlignment="1">
      <alignment/>
    </xf>
    <xf numFmtId="4" fontId="36" fillId="15" borderId="17" xfId="0" applyNumberFormat="1" applyFont="1" applyFill="1" applyBorder="1" applyAlignment="1">
      <alignment/>
    </xf>
    <xf numFmtId="4" fontId="30" fillId="0" borderId="23" xfId="0" applyNumberFormat="1" applyFont="1" applyBorder="1" applyAlignment="1">
      <alignment/>
    </xf>
    <xf numFmtId="3" fontId="70" fillId="0" borderId="16" xfId="0" applyNumberFormat="1" applyFont="1" applyFill="1" applyBorder="1" applyAlignment="1">
      <alignment horizontal="left"/>
    </xf>
    <xf numFmtId="3" fontId="71" fillId="0" borderId="16" xfId="0" applyNumberFormat="1" applyFont="1" applyBorder="1" applyAlignment="1">
      <alignment/>
    </xf>
    <xf numFmtId="4" fontId="30" fillId="0" borderId="17" xfId="0" applyNumberFormat="1" applyFont="1" applyBorder="1" applyAlignment="1">
      <alignment horizontal="left"/>
    </xf>
    <xf numFmtId="4" fontId="30" fillId="0" borderId="15" xfId="0" applyNumberFormat="1" applyFont="1" applyBorder="1" applyAlignment="1">
      <alignment/>
    </xf>
    <xf numFmtId="3" fontId="30" fillId="0" borderId="17" xfId="0" applyNumberFormat="1" applyFont="1" applyFill="1" applyBorder="1" applyAlignment="1">
      <alignment horizontal="left"/>
    </xf>
    <xf numFmtId="4" fontId="30" fillId="0" borderId="17" xfId="0" applyNumberFormat="1" applyFont="1" applyBorder="1" applyAlignment="1">
      <alignment horizontal="center"/>
    </xf>
    <xf numFmtId="3" fontId="30" fillId="0" borderId="25" xfId="0" applyNumberFormat="1" applyFont="1" applyBorder="1" applyAlignment="1">
      <alignment horizontal="left"/>
    </xf>
    <xf numFmtId="4" fontId="30" fillId="0" borderId="25" xfId="0" applyNumberFormat="1" applyFont="1" applyBorder="1" applyAlignment="1">
      <alignment horizontal="left"/>
    </xf>
    <xf numFmtId="4" fontId="30" fillId="0" borderId="21" xfId="0" applyNumberFormat="1" applyFont="1" applyBorder="1" applyAlignment="1">
      <alignment horizontal="left"/>
    </xf>
    <xf numFmtId="4" fontId="30" fillId="0" borderId="79" xfId="0" applyNumberFormat="1" applyFont="1" applyBorder="1" applyAlignment="1">
      <alignment/>
    </xf>
    <xf numFmtId="4" fontId="30" fillId="0" borderId="19" xfId="0" applyNumberFormat="1" applyFont="1" applyBorder="1" applyAlignment="1">
      <alignment horizontal="left"/>
    </xf>
    <xf numFmtId="0" fontId="0" fillId="0" borderId="25" xfId="0" applyFont="1" applyBorder="1" applyAlignment="1">
      <alignment/>
    </xf>
    <xf numFmtId="0" fontId="30" fillId="0" borderId="19" xfId="0" applyFont="1" applyFill="1" applyBorder="1" applyAlignment="1">
      <alignment/>
    </xf>
    <xf numFmtId="4" fontId="37" fillId="0" borderId="21" xfId="0" applyNumberFormat="1" applyFont="1" applyFill="1" applyBorder="1" applyAlignment="1">
      <alignment/>
    </xf>
    <xf numFmtId="4" fontId="32" fillId="0" borderId="23" xfId="0" applyNumberFormat="1" applyFont="1" applyBorder="1" applyAlignment="1">
      <alignment horizontal="left"/>
    </xf>
    <xf numFmtId="4" fontId="32" fillId="8" borderId="23" xfId="0" applyNumberFormat="1" applyFont="1" applyFill="1" applyBorder="1" applyAlignment="1">
      <alignment horizontal="left"/>
    </xf>
    <xf numFmtId="2" fontId="28" fillId="4" borderId="24" xfId="0" applyNumberFormat="1" applyFont="1" applyFill="1" applyBorder="1" applyAlignment="1">
      <alignment/>
    </xf>
    <xf numFmtId="3" fontId="28" fillId="4" borderId="21" xfId="0" applyNumberFormat="1" applyFont="1" applyFill="1" applyBorder="1" applyAlignment="1">
      <alignment/>
    </xf>
    <xf numFmtId="3" fontId="36" fillId="4" borderId="21" xfId="0" applyNumberFormat="1" applyFont="1" applyFill="1" applyBorder="1" applyAlignment="1">
      <alignment/>
    </xf>
    <xf numFmtId="4" fontId="28" fillId="4" borderId="21" xfId="0" applyNumberFormat="1" applyFont="1" applyFill="1" applyBorder="1" applyAlignment="1">
      <alignment/>
    </xf>
    <xf numFmtId="4" fontId="36" fillId="4" borderId="16" xfId="0" applyNumberFormat="1" applyFont="1" applyFill="1" applyBorder="1" applyAlignment="1">
      <alignment/>
    </xf>
    <xf numFmtId="49" fontId="24" fillId="8" borderId="0" xfId="0" applyNumberFormat="1" applyFont="1" applyFill="1" applyBorder="1" applyAlignment="1">
      <alignment horizontal="right"/>
    </xf>
    <xf numFmtId="0" fontId="30" fillId="8" borderId="0" xfId="0" applyFont="1" applyFill="1" applyBorder="1" applyAlignment="1">
      <alignment/>
    </xf>
    <xf numFmtId="0" fontId="24" fillId="8" borderId="0" xfId="0" applyFont="1" applyFill="1" applyBorder="1" applyAlignment="1">
      <alignment/>
    </xf>
    <xf numFmtId="3" fontId="24" fillId="8" borderId="0" xfId="0" applyNumberFormat="1" applyFont="1" applyFill="1" applyBorder="1" applyAlignment="1">
      <alignment horizontal="right"/>
    </xf>
    <xf numFmtId="4" fontId="24" fillId="8" borderId="0" xfId="0" applyNumberFormat="1" applyFont="1" applyFill="1" applyBorder="1" applyAlignment="1">
      <alignment horizontal="right"/>
    </xf>
    <xf numFmtId="4" fontId="24" fillId="8" borderId="0" xfId="0" applyNumberFormat="1" applyFont="1" applyFill="1" applyBorder="1" applyAlignment="1">
      <alignment horizontal="center"/>
    </xf>
    <xf numFmtId="2" fontId="27" fillId="8" borderId="0" xfId="0" applyNumberFormat="1" applyFont="1" applyFill="1" applyBorder="1" applyAlignment="1">
      <alignment/>
    </xf>
    <xf numFmtId="3" fontId="27" fillId="8" borderId="0" xfId="0" applyNumberFormat="1" applyFont="1" applyFill="1" applyBorder="1" applyAlignment="1">
      <alignment/>
    </xf>
    <xf numFmtId="3" fontId="24" fillId="7" borderId="17" xfId="0" applyNumberFormat="1" applyFont="1" applyFill="1" applyBorder="1" applyAlignment="1">
      <alignment horizontal="justify" vertical="center"/>
    </xf>
    <xf numFmtId="0" fontId="28" fillId="15" borderId="84" xfId="0" applyFont="1" applyFill="1" applyBorder="1" applyAlignment="1">
      <alignment/>
    </xf>
    <xf numFmtId="0" fontId="27" fillId="15" borderId="85" xfId="0" applyFont="1" applyFill="1" applyBorder="1" applyAlignment="1">
      <alignment/>
    </xf>
    <xf numFmtId="4" fontId="32" fillId="0" borderId="16" xfId="0" applyNumberFormat="1" applyFont="1" applyFill="1" applyBorder="1" applyAlignment="1">
      <alignment/>
    </xf>
    <xf numFmtId="4" fontId="33" fillId="0" borderId="16" xfId="0" applyNumberFormat="1" applyFont="1" applyFill="1" applyBorder="1" applyAlignment="1">
      <alignment horizontal="left"/>
    </xf>
    <xf numFmtId="4" fontId="32" fillId="0" borderId="16" xfId="0" applyNumberFormat="1" applyFont="1" applyFill="1" applyBorder="1" applyAlignment="1">
      <alignment horizontal="left"/>
    </xf>
    <xf numFmtId="0" fontId="31" fillId="0" borderId="13" xfId="0" applyFont="1" applyFill="1" applyBorder="1" applyAlignment="1">
      <alignment/>
    </xf>
    <xf numFmtId="0" fontId="31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4" fontId="31" fillId="0" borderId="21" xfId="0" applyNumberFormat="1" applyFont="1" applyBorder="1" applyAlignment="1">
      <alignment horizontal="center"/>
    </xf>
    <xf numFmtId="0" fontId="28" fillId="15" borderId="24" xfId="0" applyFont="1" applyFill="1" applyBorder="1" applyAlignment="1">
      <alignment/>
    </xf>
    <xf numFmtId="0" fontId="27" fillId="15" borderId="63" xfId="0" applyFont="1" applyFill="1" applyBorder="1" applyAlignment="1">
      <alignment/>
    </xf>
    <xf numFmtId="0" fontId="27" fillId="15" borderId="79" xfId="0" applyFont="1" applyFill="1" applyBorder="1" applyAlignment="1">
      <alignment/>
    </xf>
    <xf numFmtId="3" fontId="28" fillId="15" borderId="25" xfId="0" applyNumberFormat="1" applyFont="1" applyFill="1" applyBorder="1" applyAlignment="1">
      <alignment/>
    </xf>
    <xf numFmtId="3" fontId="28" fillId="15" borderId="25" xfId="0" applyNumberFormat="1" applyFont="1" applyFill="1" applyBorder="1" applyAlignment="1">
      <alignment horizontal="right"/>
    </xf>
    <xf numFmtId="4" fontId="28" fillId="15" borderId="25" xfId="0" applyNumberFormat="1" applyFont="1" applyFill="1" applyBorder="1" applyAlignment="1">
      <alignment/>
    </xf>
    <xf numFmtId="4" fontId="28" fillId="15" borderId="19" xfId="0" applyNumberFormat="1" applyFont="1" applyFill="1" applyBorder="1" applyAlignment="1">
      <alignment horizontal="center"/>
    </xf>
    <xf numFmtId="3" fontId="28" fillId="15" borderId="17" xfId="0" applyNumberFormat="1" applyFont="1" applyFill="1" applyBorder="1" applyAlignment="1">
      <alignment horizontal="right"/>
    </xf>
    <xf numFmtId="0" fontId="71" fillId="0" borderId="16" xfId="0" applyFont="1" applyBorder="1" applyAlignment="1">
      <alignment horizontal="left"/>
    </xf>
    <xf numFmtId="4" fontId="70" fillId="0" borderId="16" xfId="0" applyNumberFormat="1" applyFont="1" applyBorder="1" applyAlignment="1">
      <alignment horizontal="right"/>
    </xf>
    <xf numFmtId="4" fontId="32" fillId="0" borderId="16" xfId="0" applyNumberFormat="1" applyFont="1" applyFill="1" applyBorder="1" applyAlignment="1">
      <alignment horizontal="right"/>
    </xf>
    <xf numFmtId="4" fontId="32" fillId="8" borderId="16" xfId="0" applyNumberFormat="1" applyFont="1" applyFill="1" applyBorder="1" applyAlignment="1">
      <alignment horizontal="left"/>
    </xf>
    <xf numFmtId="4" fontId="30" fillId="0" borderId="21" xfId="0" applyNumberFormat="1" applyFont="1" applyBorder="1" applyAlignment="1">
      <alignment horizontal="center"/>
    </xf>
    <xf numFmtId="3" fontId="30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28" fillId="15" borderId="14" xfId="0" applyFont="1" applyFill="1" applyBorder="1" applyAlignment="1">
      <alignment/>
    </xf>
    <xf numFmtId="0" fontId="28" fillId="15" borderId="15" xfId="0" applyFont="1" applyFill="1" applyBorder="1" applyAlignment="1">
      <alignment/>
    </xf>
    <xf numFmtId="2" fontId="28" fillId="15" borderId="18" xfId="0" applyNumberFormat="1" applyFont="1" applyFill="1" applyBorder="1" applyAlignment="1">
      <alignment/>
    </xf>
    <xf numFmtId="0" fontId="28" fillId="15" borderId="17" xfId="0" applyFont="1" applyFill="1" applyBorder="1" applyAlignment="1">
      <alignment/>
    </xf>
    <xf numFmtId="2" fontId="28" fillId="15" borderId="17" xfId="0" applyNumberFormat="1" applyFont="1" applyFill="1" applyBorder="1" applyAlignment="1">
      <alignment/>
    </xf>
    <xf numFmtId="0" fontId="31" fillId="15" borderId="16" xfId="0" applyFont="1" applyFill="1" applyBorder="1" applyAlignment="1">
      <alignment horizontal="center"/>
    </xf>
    <xf numFmtId="2" fontId="30" fillId="0" borderId="15" xfId="0" applyNumberFormat="1" applyFont="1" applyBorder="1" applyAlignment="1">
      <alignment/>
    </xf>
    <xf numFmtId="3" fontId="30" fillId="0" borderId="15" xfId="0" applyNumberFormat="1" applyFont="1" applyBorder="1" applyAlignment="1">
      <alignment horizontal="left"/>
    </xf>
    <xf numFmtId="3" fontId="30" fillId="0" borderId="13" xfId="0" applyNumberFormat="1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30" fillId="0" borderId="79" xfId="0" applyFont="1" applyBorder="1" applyAlignment="1">
      <alignment/>
    </xf>
    <xf numFmtId="2" fontId="30" fillId="0" borderId="79" xfId="0" applyNumberFormat="1" applyFont="1" applyBorder="1" applyAlignment="1">
      <alignment/>
    </xf>
    <xf numFmtId="0" fontId="26" fillId="0" borderId="18" xfId="0" applyFont="1" applyBorder="1" applyAlignment="1">
      <alignment/>
    </xf>
    <xf numFmtId="2" fontId="30" fillId="0" borderId="23" xfId="0" applyNumberFormat="1" applyFont="1" applyBorder="1" applyAlignment="1">
      <alignment/>
    </xf>
    <xf numFmtId="3" fontId="30" fillId="0" borderId="18" xfId="0" applyNumberFormat="1" applyFont="1" applyBorder="1" applyAlignment="1">
      <alignment horizontal="left"/>
    </xf>
    <xf numFmtId="0" fontId="26" fillId="0" borderId="13" xfId="0" applyFont="1" applyBorder="1" applyAlignment="1">
      <alignment/>
    </xf>
    <xf numFmtId="0" fontId="30" fillId="8" borderId="79" xfId="0" applyFont="1" applyFill="1" applyBorder="1" applyAlignment="1">
      <alignment/>
    </xf>
    <xf numFmtId="0" fontId="30" fillId="8" borderId="21" xfId="0" applyFont="1" applyFill="1" applyBorder="1" applyAlignment="1">
      <alignment/>
    </xf>
    <xf numFmtId="2" fontId="30" fillId="8" borderId="79" xfId="0" applyNumberFormat="1" applyFont="1" applyFill="1" applyBorder="1" applyAlignment="1">
      <alignment/>
    </xf>
    <xf numFmtId="4" fontId="32" fillId="0" borderId="16" xfId="0" applyNumberFormat="1" applyFont="1" applyBorder="1" applyAlignment="1">
      <alignment/>
    </xf>
    <xf numFmtId="0" fontId="31" fillId="0" borderId="14" xfId="0" applyFont="1" applyFill="1" applyBorder="1" applyAlignment="1">
      <alignment/>
    </xf>
    <xf numFmtId="3" fontId="30" fillId="0" borderId="2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30" fillId="0" borderId="25" xfId="0" applyFont="1" applyBorder="1" applyAlignment="1">
      <alignment horizontal="left"/>
    </xf>
    <xf numFmtId="0" fontId="30" fillId="0" borderId="20" xfId="0" applyFont="1" applyBorder="1" applyAlignment="1">
      <alignment/>
    </xf>
    <xf numFmtId="2" fontId="30" fillId="0" borderId="20" xfId="0" applyNumberFormat="1" applyFont="1" applyBorder="1" applyAlignment="1">
      <alignment/>
    </xf>
    <xf numFmtId="4" fontId="31" fillId="4" borderId="16" xfId="0" applyNumberFormat="1" applyFont="1" applyFill="1" applyBorder="1" applyAlignment="1">
      <alignment horizontal="right"/>
    </xf>
    <xf numFmtId="4" fontId="31" fillId="4" borderId="16" xfId="0" applyNumberFormat="1" applyFont="1" applyFill="1" applyBorder="1" applyAlignment="1">
      <alignment horizontal="center"/>
    </xf>
    <xf numFmtId="3" fontId="31" fillId="4" borderId="13" xfId="0" applyNumberFormat="1" applyFont="1" applyFill="1" applyBorder="1" applyAlignment="1">
      <alignment horizontal="right"/>
    </xf>
    <xf numFmtId="0" fontId="31" fillId="4" borderId="13" xfId="0" applyFont="1" applyFill="1" applyBorder="1" applyAlignment="1">
      <alignment/>
    </xf>
    <xf numFmtId="3" fontId="36" fillId="4" borderId="16" xfId="0" applyNumberFormat="1" applyFont="1" applyFill="1" applyBorder="1" applyAlignment="1">
      <alignment/>
    </xf>
    <xf numFmtId="2" fontId="28" fillId="4" borderId="16" xfId="0" applyNumberFormat="1" applyFont="1" applyFill="1" applyBorder="1" applyAlignment="1">
      <alignment/>
    </xf>
    <xf numFmtId="0" fontId="30" fillId="0" borderId="22" xfId="0" applyFont="1" applyFill="1" applyBorder="1" applyAlignment="1">
      <alignment horizontal="left"/>
    </xf>
    <xf numFmtId="0" fontId="85" fillId="0" borderId="16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30" fillId="0" borderId="86" xfId="0" applyFont="1" applyFill="1" applyBorder="1" applyAlignment="1">
      <alignment/>
    </xf>
    <xf numFmtId="0" fontId="34" fillId="0" borderId="87" xfId="0" applyFont="1" applyFill="1" applyBorder="1" applyAlignment="1">
      <alignment/>
    </xf>
    <xf numFmtId="0" fontId="30" fillId="0" borderId="87" xfId="0" applyFont="1" applyFill="1" applyBorder="1" applyAlignment="1">
      <alignment/>
    </xf>
    <xf numFmtId="2" fontId="33" fillId="0" borderId="16" xfId="0" applyNumberFormat="1" applyFont="1" applyBorder="1" applyAlignment="1">
      <alignment horizontal="left"/>
    </xf>
    <xf numFmtId="0" fontId="34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2" fontId="32" fillId="0" borderId="16" xfId="0" applyNumberFormat="1" applyFont="1" applyBorder="1" applyAlignment="1">
      <alignment horizontal="left"/>
    </xf>
    <xf numFmtId="2" fontId="30" fillId="0" borderId="16" xfId="0" applyNumberFormat="1" applyFont="1" applyBorder="1" applyAlignment="1">
      <alignment horizontal="left"/>
    </xf>
    <xf numFmtId="3" fontId="31" fillId="0" borderId="25" xfId="0" applyNumberFormat="1" applyFont="1" applyBorder="1" applyAlignment="1">
      <alignment/>
    </xf>
    <xf numFmtId="4" fontId="31" fillId="0" borderId="25" xfId="0" applyNumberFormat="1" applyFont="1" applyBorder="1" applyAlignment="1">
      <alignment horizontal="center"/>
    </xf>
    <xf numFmtId="3" fontId="31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34" fillId="0" borderId="16" xfId="0" applyFont="1" applyBorder="1" applyAlignment="1">
      <alignment/>
    </xf>
    <xf numFmtId="3" fontId="34" fillId="0" borderId="13" xfId="0" applyNumberFormat="1" applyFont="1" applyBorder="1" applyAlignment="1">
      <alignment horizontal="left"/>
    </xf>
    <xf numFmtId="2" fontId="31" fillId="4" borderId="24" xfId="0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4" fontId="72" fillId="0" borderId="16" xfId="0" applyNumberFormat="1" applyFont="1" applyBorder="1" applyAlignment="1">
      <alignment horizontal="left"/>
    </xf>
    <xf numFmtId="0" fontId="86" fillId="0" borderId="16" xfId="0" applyFont="1" applyBorder="1" applyAlignment="1">
      <alignment horizontal="left"/>
    </xf>
    <xf numFmtId="0" fontId="72" fillId="0" borderId="16" xfId="0" applyFont="1" applyBorder="1" applyAlignment="1">
      <alignment/>
    </xf>
    <xf numFmtId="0" fontId="82" fillId="0" borderId="16" xfId="0" applyFont="1" applyFill="1" applyBorder="1" applyAlignment="1">
      <alignment/>
    </xf>
    <xf numFmtId="4" fontId="29" fillId="15" borderId="17" xfId="0" applyNumberFormat="1" applyFont="1" applyFill="1" applyBorder="1" applyAlignment="1">
      <alignment/>
    </xf>
    <xf numFmtId="0" fontId="24" fillId="4" borderId="13" xfId="0" applyFont="1" applyFill="1" applyBorder="1" applyAlignment="1">
      <alignment/>
    </xf>
    <xf numFmtId="49" fontId="24" fillId="8" borderId="0" xfId="0" applyNumberFormat="1" applyFont="1" applyFill="1" applyBorder="1" applyAlignment="1">
      <alignment/>
    </xf>
    <xf numFmtId="3" fontId="0" fillId="8" borderId="0" xfId="0" applyNumberFormat="1" applyFont="1" applyFill="1" applyBorder="1" applyAlignment="1">
      <alignment horizontal="left"/>
    </xf>
    <xf numFmtId="3" fontId="0" fillId="8" borderId="0" xfId="0" applyNumberFormat="1" applyFont="1" applyFill="1" applyBorder="1" applyAlignment="1">
      <alignment horizontal="right"/>
    </xf>
    <xf numFmtId="3" fontId="0" fillId="8" borderId="0" xfId="0" applyNumberFormat="1" applyFont="1" applyFill="1" applyBorder="1" applyAlignment="1">
      <alignment horizontal="center"/>
    </xf>
    <xf numFmtId="4" fontId="0" fillId="8" borderId="0" xfId="0" applyNumberFormat="1" applyFont="1" applyFill="1" applyBorder="1" applyAlignment="1">
      <alignment horizontal="center"/>
    </xf>
    <xf numFmtId="0" fontId="68" fillId="8" borderId="0" xfId="0" applyFont="1" applyFill="1" applyBorder="1" applyAlignment="1">
      <alignment/>
    </xf>
    <xf numFmtId="0" fontId="68" fillId="8" borderId="0" xfId="0" applyFont="1" applyFill="1" applyBorder="1" applyAlignment="1">
      <alignment vertical="top"/>
    </xf>
    <xf numFmtId="0" fontId="68" fillId="8" borderId="0" xfId="0" applyFont="1" applyFill="1" applyBorder="1" applyAlignment="1">
      <alignment horizontal="center"/>
    </xf>
    <xf numFmtId="0" fontId="68" fillId="8" borderId="0" xfId="0" applyFont="1" applyFill="1" applyBorder="1" applyAlignment="1">
      <alignment horizontal="justify" vertical="center"/>
    </xf>
    <xf numFmtId="0" fontId="68" fillId="8" borderId="0" xfId="0" applyFont="1" applyFill="1" applyBorder="1" applyAlignment="1">
      <alignment horizontal="center" vertical="center"/>
    </xf>
    <xf numFmtId="2" fontId="68" fillId="8" borderId="0" xfId="0" applyNumberFormat="1" applyFont="1" applyFill="1" applyBorder="1" applyAlignment="1">
      <alignment horizontal="justify" vertical="center"/>
    </xf>
    <xf numFmtId="1" fontId="68" fillId="8" borderId="0" xfId="0" applyNumberFormat="1" applyFont="1" applyFill="1" applyBorder="1" applyAlignment="1">
      <alignment horizontal="justify" vertical="top"/>
    </xf>
    <xf numFmtId="1" fontId="68" fillId="8" borderId="0" xfId="0" applyNumberFormat="1" applyFont="1" applyFill="1" applyBorder="1" applyAlignment="1">
      <alignment horizontal="center" vertical="center"/>
    </xf>
    <xf numFmtId="3" fontId="24" fillId="8" borderId="0" xfId="0" applyNumberFormat="1" applyFont="1" applyFill="1" applyBorder="1" applyAlignment="1">
      <alignment horizontal="justify" vertical="center"/>
    </xf>
    <xf numFmtId="2" fontId="24" fillId="8" borderId="0" xfId="0" applyNumberFormat="1" applyFont="1" applyFill="1" applyBorder="1" applyAlignment="1">
      <alignment horizontal="justify" vertical="center"/>
    </xf>
    <xf numFmtId="0" fontId="28" fillId="8" borderId="0" xfId="0" applyFont="1" applyFill="1" applyBorder="1" applyAlignment="1">
      <alignment/>
    </xf>
    <xf numFmtId="3" fontId="28" fillId="8" borderId="0" xfId="0" applyNumberFormat="1" applyFont="1" applyFill="1" applyBorder="1" applyAlignment="1">
      <alignment horizontal="right"/>
    </xf>
    <xf numFmtId="4" fontId="28" fillId="8" borderId="0" xfId="0" applyNumberFormat="1" applyFont="1" applyFill="1" applyBorder="1" applyAlignment="1">
      <alignment horizontal="right"/>
    </xf>
    <xf numFmtId="4" fontId="28" fillId="8" borderId="0" xfId="0" applyNumberFormat="1" applyFont="1" applyFill="1" applyBorder="1" applyAlignment="1">
      <alignment horizontal="center"/>
    </xf>
    <xf numFmtId="3" fontId="28" fillId="8" borderId="0" xfId="0" applyNumberFormat="1" applyFont="1" applyFill="1" applyBorder="1" applyAlignment="1">
      <alignment/>
    </xf>
    <xf numFmtId="3" fontId="29" fillId="8" borderId="0" xfId="0" applyNumberFormat="1" applyFont="1" applyFill="1" applyBorder="1" applyAlignment="1">
      <alignment/>
    </xf>
    <xf numFmtId="4" fontId="28" fillId="8" borderId="0" xfId="0" applyNumberFormat="1" applyFont="1" applyFill="1" applyBorder="1" applyAlignment="1">
      <alignment/>
    </xf>
    <xf numFmtId="3" fontId="30" fillId="8" borderId="0" xfId="0" applyNumberFormat="1" applyFont="1" applyFill="1" applyBorder="1" applyAlignment="1">
      <alignment/>
    </xf>
    <xf numFmtId="4" fontId="30" fillId="8" borderId="0" xfId="0" applyNumberFormat="1" applyFont="1" applyFill="1" applyBorder="1" applyAlignment="1">
      <alignment horizontal="center"/>
    </xf>
    <xf numFmtId="2" fontId="30" fillId="8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29" fillId="15" borderId="16" xfId="0" applyNumberFormat="1" applyFont="1" applyFill="1" applyBorder="1" applyAlignment="1">
      <alignment/>
    </xf>
    <xf numFmtId="2" fontId="33" fillId="6" borderId="16" xfId="0" applyNumberFormat="1" applyFont="1" applyFill="1" applyBorder="1" applyAlignment="1">
      <alignment/>
    </xf>
    <xf numFmtId="3" fontId="29" fillId="4" borderId="16" xfId="0" applyNumberFormat="1" applyFont="1" applyFill="1" applyBorder="1" applyAlignment="1">
      <alignment/>
    </xf>
    <xf numFmtId="4" fontId="28" fillId="15" borderId="17" xfId="0" applyNumberFormat="1" applyFont="1" applyFill="1" applyBorder="1" applyAlignment="1">
      <alignment horizontal="right"/>
    </xf>
    <xf numFmtId="4" fontId="28" fillId="15" borderId="17" xfId="0" applyNumberFormat="1" applyFont="1" applyFill="1" applyBorder="1" applyAlignment="1">
      <alignment horizontal="center"/>
    </xf>
    <xf numFmtId="4" fontId="28" fillId="15" borderId="18" xfId="0" applyNumberFormat="1" applyFont="1" applyFill="1" applyBorder="1" applyAlignment="1">
      <alignment horizontal="right"/>
    </xf>
    <xf numFmtId="3" fontId="31" fillId="15" borderId="17" xfId="0" applyNumberFormat="1" applyFont="1" applyFill="1" applyBorder="1" applyAlignment="1">
      <alignment horizontal="right"/>
    </xf>
    <xf numFmtId="3" fontId="41" fillId="15" borderId="17" xfId="0" applyNumberFormat="1" applyFont="1" applyFill="1" applyBorder="1" applyAlignment="1">
      <alignment horizontal="right"/>
    </xf>
    <xf numFmtId="4" fontId="31" fillId="15" borderId="17" xfId="0" applyNumberFormat="1" applyFont="1" applyFill="1" applyBorder="1" applyAlignment="1">
      <alignment horizontal="right"/>
    </xf>
    <xf numFmtId="4" fontId="37" fillId="15" borderId="17" xfId="0" applyNumberFormat="1" applyFont="1" applyFill="1" applyBorder="1" applyAlignment="1">
      <alignment horizontal="right"/>
    </xf>
    <xf numFmtId="0" fontId="31" fillId="0" borderId="13" xfId="0" applyFont="1" applyBorder="1" applyAlignment="1">
      <alignment/>
    </xf>
    <xf numFmtId="0" fontId="31" fillId="0" borderId="14" xfId="0" applyFont="1" applyFill="1" applyBorder="1" applyAlignment="1">
      <alignment vertical="top"/>
    </xf>
    <xf numFmtId="0" fontId="31" fillId="0" borderId="14" xfId="0" applyFont="1" applyFill="1" applyBorder="1" applyAlignment="1">
      <alignment horizontal="left"/>
    </xf>
    <xf numFmtId="3" fontId="87" fillId="0" borderId="16" xfId="0" applyNumberFormat="1" applyFont="1" applyBorder="1" applyAlignment="1">
      <alignment horizontal="right"/>
    </xf>
    <xf numFmtId="0" fontId="31" fillId="0" borderId="13" xfId="0" applyFont="1" applyFill="1" applyBorder="1" applyAlignment="1">
      <alignment horizontal="right"/>
    </xf>
    <xf numFmtId="0" fontId="30" fillId="8" borderId="14" xfId="0" applyFont="1" applyFill="1" applyBorder="1" applyAlignment="1">
      <alignment/>
    </xf>
    <xf numFmtId="0" fontId="30" fillId="8" borderId="14" xfId="0" applyFont="1" applyFill="1" applyBorder="1" applyAlignment="1">
      <alignment horizontal="left"/>
    </xf>
    <xf numFmtId="0" fontId="31" fillId="15" borderId="21" xfId="0" applyFont="1" applyFill="1" applyBorder="1" applyAlignment="1">
      <alignment horizontal="center"/>
    </xf>
    <xf numFmtId="3" fontId="31" fillId="0" borderId="21" xfId="0" applyNumberFormat="1" applyFont="1" applyBorder="1" applyAlignment="1">
      <alignment/>
    </xf>
    <xf numFmtId="3" fontId="31" fillId="0" borderId="24" xfId="0" applyNumberFormat="1" applyFont="1" applyBorder="1" applyAlignment="1">
      <alignment/>
    </xf>
    <xf numFmtId="0" fontId="34" fillId="0" borderId="20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4" fontId="30" fillId="0" borderId="20" xfId="0" applyNumberFormat="1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4" fontId="30" fillId="0" borderId="23" xfId="0" applyNumberFormat="1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4" fontId="30" fillId="0" borderId="15" xfId="0" applyNumberFormat="1" applyFont="1" applyBorder="1" applyAlignment="1">
      <alignment horizontal="left"/>
    </xf>
    <xf numFmtId="0" fontId="34" fillId="0" borderId="79" xfId="0" applyFont="1" applyBorder="1" applyAlignment="1">
      <alignment horizontal="left"/>
    </xf>
    <xf numFmtId="0" fontId="30" fillId="0" borderId="79" xfId="0" applyFont="1" applyBorder="1" applyAlignment="1">
      <alignment horizontal="left"/>
    </xf>
    <xf numFmtId="4" fontId="30" fillId="0" borderId="79" xfId="0" applyNumberFormat="1" applyFont="1" applyBorder="1" applyAlignment="1">
      <alignment horizontal="left"/>
    </xf>
    <xf numFmtId="3" fontId="30" fillId="0" borderId="13" xfId="0" applyNumberFormat="1" applyFont="1" applyFill="1" applyBorder="1" applyAlignment="1">
      <alignment horizontal="left"/>
    </xf>
    <xf numFmtId="2" fontId="30" fillId="0" borderId="79" xfId="0" applyNumberFormat="1" applyFont="1" applyBorder="1" applyAlignment="1">
      <alignment horizontal="left"/>
    </xf>
    <xf numFmtId="0" fontId="28" fillId="15" borderId="23" xfId="0" applyFont="1" applyFill="1" applyBorder="1" applyAlignment="1">
      <alignment/>
    </xf>
    <xf numFmtId="0" fontId="30" fillId="0" borderId="13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3" fontId="30" fillId="8" borderId="16" xfId="0" applyNumberFormat="1" applyFont="1" applyFill="1" applyBorder="1" applyAlignment="1">
      <alignment horizontal="center"/>
    </xf>
    <xf numFmtId="4" fontId="34" fillId="0" borderId="16" xfId="0" applyNumberFormat="1" applyFont="1" applyBorder="1" applyAlignment="1">
      <alignment/>
    </xf>
    <xf numFmtId="0" fontId="72" fillId="0" borderId="14" xfId="0" applyFont="1" applyFill="1" applyBorder="1" applyAlignment="1">
      <alignment horizontal="left"/>
    </xf>
    <xf numFmtId="3" fontId="72" fillId="0" borderId="16" xfId="0" applyNumberFormat="1" applyFont="1" applyFill="1" applyBorder="1" applyAlignment="1">
      <alignment horizontal="left"/>
    </xf>
    <xf numFmtId="3" fontId="72" fillId="8" borderId="16" xfId="0" applyNumberFormat="1" applyFont="1" applyFill="1" applyBorder="1" applyAlignment="1">
      <alignment horizontal="left"/>
    </xf>
    <xf numFmtId="0" fontId="72" fillId="0" borderId="16" xfId="0" applyFont="1" applyBorder="1" applyAlignment="1">
      <alignment horizontal="right"/>
    </xf>
    <xf numFmtId="2" fontId="32" fillId="6" borderId="16" xfId="0" applyNumberFormat="1" applyFont="1" applyFill="1" applyBorder="1" applyAlignment="1">
      <alignment/>
    </xf>
    <xf numFmtId="0" fontId="88" fillId="0" borderId="14" xfId="0" applyFont="1" applyFill="1" applyBorder="1" applyAlignment="1">
      <alignment horizontal="right"/>
    </xf>
    <xf numFmtId="3" fontId="28" fillId="15" borderId="17" xfId="0" applyNumberFormat="1" applyFont="1" applyFill="1" applyBorder="1" applyAlignment="1">
      <alignment horizontal="center"/>
    </xf>
    <xf numFmtId="0" fontId="31" fillId="15" borderId="18" xfId="0" applyFont="1" applyFill="1" applyBorder="1" applyAlignment="1">
      <alignment/>
    </xf>
    <xf numFmtId="2" fontId="32" fillId="6" borderId="17" xfId="0" applyNumberFormat="1" applyFont="1" applyFill="1" applyBorder="1" applyAlignment="1">
      <alignment/>
    </xf>
    <xf numFmtId="4" fontId="34" fillId="0" borderId="16" xfId="0" applyNumberFormat="1" applyFont="1" applyBorder="1" applyAlignment="1">
      <alignment horizontal="right"/>
    </xf>
    <xf numFmtId="0" fontId="30" fillId="0" borderId="17" xfId="0" applyFont="1" applyFill="1" applyBorder="1" applyAlignment="1">
      <alignment/>
    </xf>
    <xf numFmtId="3" fontId="70" fillId="8" borderId="16" xfId="0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0" fontId="86" fillId="0" borderId="16" xfId="0" applyFont="1" applyBorder="1" applyAlignment="1">
      <alignment/>
    </xf>
    <xf numFmtId="0" fontId="86" fillId="0" borderId="0" xfId="0" applyFont="1" applyBorder="1" applyAlignment="1">
      <alignment/>
    </xf>
    <xf numFmtId="0" fontId="70" fillId="0" borderId="17" xfId="0" applyFont="1" applyFill="1" applyBorder="1" applyAlignment="1">
      <alignment/>
    </xf>
    <xf numFmtId="0" fontId="34" fillId="0" borderId="13" xfId="0" applyFont="1" applyFill="1" applyBorder="1" applyAlignment="1">
      <alignment horizontal="left"/>
    </xf>
    <xf numFmtId="0" fontId="34" fillId="0" borderId="14" xfId="0" applyFont="1" applyFill="1" applyBorder="1" applyAlignment="1">
      <alignment horizontal="left"/>
    </xf>
    <xf numFmtId="0" fontId="70" fillId="0" borderId="16" xfId="0" applyFont="1" applyBorder="1" applyAlignment="1">
      <alignment horizontal="right"/>
    </xf>
    <xf numFmtId="2" fontId="33" fillId="6" borderId="17" xfId="0" applyNumberFormat="1" applyFont="1" applyFill="1" applyBorder="1" applyAlignment="1">
      <alignment/>
    </xf>
    <xf numFmtId="0" fontId="72" fillId="0" borderId="14" xfId="0" applyFont="1" applyFill="1" applyBorder="1" applyAlignment="1">
      <alignment/>
    </xf>
    <xf numFmtId="2" fontId="28" fillId="15" borderId="16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25" xfId="0" applyFont="1" applyFill="1" applyBorder="1" applyAlignment="1">
      <alignment/>
    </xf>
    <xf numFmtId="2" fontId="32" fillId="0" borderId="21" xfId="0" applyNumberFormat="1" applyFont="1" applyFill="1" applyBorder="1" applyAlignment="1">
      <alignment/>
    </xf>
    <xf numFmtId="3" fontId="30" fillId="0" borderId="14" xfId="0" applyNumberFormat="1" applyFont="1" applyBorder="1" applyAlignment="1">
      <alignment/>
    </xf>
    <xf numFmtId="3" fontId="30" fillId="0" borderId="21" xfId="0" applyNumberFormat="1" applyFont="1" applyFill="1" applyBorder="1" applyAlignment="1">
      <alignment/>
    </xf>
    <xf numFmtId="3" fontId="30" fillId="0" borderId="21" xfId="0" applyNumberFormat="1" applyFont="1" applyBorder="1" applyAlignment="1">
      <alignment horizontal="left"/>
    </xf>
    <xf numFmtId="3" fontId="30" fillId="0" borderId="24" xfId="0" applyNumberFormat="1" applyFont="1" applyBorder="1" applyAlignment="1">
      <alignment horizontal="left"/>
    </xf>
    <xf numFmtId="3" fontId="30" fillId="0" borderId="79" xfId="0" applyNumberFormat="1" applyFont="1" applyBorder="1" applyAlignment="1">
      <alignment/>
    </xf>
    <xf numFmtId="3" fontId="34" fillId="0" borderId="21" xfId="0" applyNumberFormat="1" applyFont="1" applyBorder="1" applyAlignment="1">
      <alignment horizontal="left"/>
    </xf>
    <xf numFmtId="0" fontId="30" fillId="4" borderId="24" xfId="0" applyFont="1" applyFill="1" applyBorder="1" applyAlignment="1">
      <alignment/>
    </xf>
    <xf numFmtId="4" fontId="36" fillId="4" borderId="21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 horizontal="center"/>
    </xf>
    <xf numFmtId="0" fontId="24" fillId="4" borderId="0" xfId="0" applyFont="1" applyFill="1" applyBorder="1" applyAlignment="1">
      <alignment/>
    </xf>
    <xf numFmtId="4" fontId="24" fillId="7" borderId="16" xfId="0" applyNumberFormat="1" applyFont="1" applyFill="1" applyBorder="1" applyAlignment="1">
      <alignment horizontal="justify" vertical="center"/>
    </xf>
    <xf numFmtId="4" fontId="28" fillId="15" borderId="18" xfId="0" applyNumberFormat="1" applyFont="1" applyFill="1" applyBorder="1" applyAlignment="1">
      <alignment/>
    </xf>
    <xf numFmtId="3" fontId="28" fillId="15" borderId="18" xfId="0" applyNumberFormat="1" applyFont="1" applyFill="1" applyBorder="1" applyAlignment="1">
      <alignment/>
    </xf>
    <xf numFmtId="4" fontId="28" fillId="15" borderId="23" xfId="0" applyNumberFormat="1" applyFont="1" applyFill="1" applyBorder="1" applyAlignment="1">
      <alignment/>
    </xf>
    <xf numFmtId="4" fontId="28" fillId="15" borderId="22" xfId="0" applyNumberFormat="1" applyFont="1" applyFill="1" applyBorder="1" applyAlignment="1">
      <alignment/>
    </xf>
    <xf numFmtId="4" fontId="35" fillId="8" borderId="16" xfId="0" applyNumberFormat="1" applyFont="1" applyFill="1" applyBorder="1" applyAlignment="1">
      <alignment horizontal="center"/>
    </xf>
    <xf numFmtId="4" fontId="31" fillId="0" borderId="16" xfId="0" applyNumberFormat="1" applyFont="1" applyBorder="1" applyAlignment="1">
      <alignment/>
    </xf>
    <xf numFmtId="2" fontId="37" fillId="0" borderId="16" xfId="0" applyNumberFormat="1" applyFont="1" applyFill="1" applyBorder="1" applyAlignment="1">
      <alignment/>
    </xf>
    <xf numFmtId="4" fontId="34" fillId="8" borderId="16" xfId="0" applyNumberFormat="1" applyFont="1" applyFill="1" applyBorder="1" applyAlignment="1">
      <alignment horizontal="center"/>
    </xf>
    <xf numFmtId="4" fontId="26" fillId="0" borderId="16" xfId="0" applyNumberFormat="1" applyFont="1" applyBorder="1" applyAlignment="1">
      <alignment/>
    </xf>
    <xf numFmtId="4" fontId="34" fillId="0" borderId="16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left"/>
    </xf>
    <xf numFmtId="0" fontId="28" fillId="0" borderId="13" xfId="0" applyFont="1" applyFill="1" applyBorder="1" applyAlignment="1">
      <alignment/>
    </xf>
    <xf numFmtId="0" fontId="27" fillId="0" borderId="14" xfId="0" applyFont="1" applyFill="1" applyBorder="1" applyAlignment="1">
      <alignment vertical="top"/>
    </xf>
    <xf numFmtId="0" fontId="28" fillId="0" borderId="14" xfId="0" applyFont="1" applyFill="1" applyBorder="1" applyAlignment="1">
      <alignment horizontal="left"/>
    </xf>
    <xf numFmtId="3" fontId="31" fillId="0" borderId="16" xfId="0" applyNumberFormat="1" applyFont="1" applyFill="1" applyBorder="1" applyAlignment="1">
      <alignment horizontal="right" vertical="center"/>
    </xf>
    <xf numFmtId="4" fontId="31" fillId="0" borderId="16" xfId="0" applyNumberFormat="1" applyFont="1" applyFill="1" applyBorder="1" applyAlignment="1">
      <alignment horizontal="right" vertical="center"/>
    </xf>
    <xf numFmtId="4" fontId="28" fillId="0" borderId="16" xfId="0" applyNumberFormat="1" applyFont="1" applyFill="1" applyBorder="1" applyAlignment="1">
      <alignment horizontal="center" vertical="center"/>
    </xf>
    <xf numFmtId="4" fontId="24" fillId="0" borderId="16" xfId="0" applyNumberFormat="1" applyFont="1" applyFill="1" applyBorder="1" applyAlignment="1">
      <alignment horizontal="right"/>
    </xf>
    <xf numFmtId="4" fontId="41" fillId="0" borderId="16" xfId="0" applyNumberFormat="1" applyFont="1" applyFill="1" applyBorder="1" applyAlignment="1">
      <alignment horizontal="right"/>
    </xf>
    <xf numFmtId="3" fontId="30" fillId="0" borderId="16" xfId="0" applyNumberFormat="1" applyFont="1" applyFill="1" applyBorder="1" applyAlignment="1">
      <alignment horizontal="left" vertical="center"/>
    </xf>
    <xf numFmtId="4" fontId="30" fillId="0" borderId="16" xfId="0" applyNumberFormat="1" applyFont="1" applyFill="1" applyBorder="1" applyAlignment="1">
      <alignment horizontal="left" vertical="center"/>
    </xf>
    <xf numFmtId="4" fontId="30" fillId="8" borderId="16" xfId="0" applyNumberFormat="1" applyFont="1" applyFill="1" applyBorder="1" applyAlignment="1">
      <alignment horizontal="center" vertical="center"/>
    </xf>
    <xf numFmtId="3" fontId="34" fillId="0" borderId="16" xfId="0" applyNumberFormat="1" applyFont="1" applyFill="1" applyBorder="1" applyAlignment="1">
      <alignment horizontal="left" vertical="center"/>
    </xf>
    <xf numFmtId="4" fontId="30" fillId="0" borderId="13" xfId="0" applyNumberFormat="1" applyFont="1" applyFill="1" applyBorder="1" applyAlignment="1">
      <alignment horizontal="left"/>
    </xf>
    <xf numFmtId="3" fontId="30" fillId="8" borderId="16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top"/>
    </xf>
    <xf numFmtId="4" fontId="37" fillId="0" borderId="16" xfId="0" applyNumberFormat="1" applyFont="1" applyFill="1" applyBorder="1" applyAlignment="1">
      <alignment horizontal="right"/>
    </xf>
    <xf numFmtId="0" fontId="34" fillId="0" borderId="13" xfId="0" applyFont="1" applyFill="1" applyBorder="1" applyAlignment="1">
      <alignment/>
    </xf>
    <xf numFmtId="0" fontId="34" fillId="0" borderId="14" xfId="0" applyFont="1" applyFill="1" applyBorder="1" applyAlignment="1">
      <alignment vertical="top"/>
    </xf>
    <xf numFmtId="3" fontId="30" fillId="0" borderId="16" xfId="0" applyNumberFormat="1" applyFont="1" applyFill="1" applyBorder="1" applyAlignment="1">
      <alignment horizontal="right" vertical="center"/>
    </xf>
    <xf numFmtId="4" fontId="30" fillId="0" borderId="16" xfId="0" applyNumberFormat="1" applyFont="1" applyFill="1" applyBorder="1" applyAlignment="1">
      <alignment horizontal="right" vertical="center"/>
    </xf>
    <xf numFmtId="4" fontId="34" fillId="0" borderId="16" xfId="0" applyNumberFormat="1" applyFont="1" applyFill="1" applyBorder="1" applyAlignment="1">
      <alignment horizontal="center" vertical="center"/>
    </xf>
    <xf numFmtId="4" fontId="72" fillId="0" borderId="16" xfId="0" applyNumberFormat="1" applyFont="1" applyFill="1" applyBorder="1" applyAlignment="1">
      <alignment horizontal="left"/>
    </xf>
    <xf numFmtId="4" fontId="27" fillId="0" borderId="16" xfId="0" applyNumberFormat="1" applyFont="1" applyFill="1" applyBorder="1" applyAlignment="1">
      <alignment horizontal="right"/>
    </xf>
    <xf numFmtId="3" fontId="80" fillId="0" borderId="16" xfId="0" applyNumberFormat="1" applyFont="1" applyFill="1" applyBorder="1" applyAlignment="1">
      <alignment horizontal="left"/>
    </xf>
    <xf numFmtId="4" fontId="80" fillId="0" borderId="16" xfId="0" applyNumberFormat="1" applyFont="1" applyFill="1" applyBorder="1" applyAlignment="1">
      <alignment horizontal="left"/>
    </xf>
    <xf numFmtId="4" fontId="80" fillId="0" borderId="16" xfId="0" applyNumberFormat="1" applyFont="1" applyBorder="1" applyAlignment="1">
      <alignment/>
    </xf>
    <xf numFmtId="0" fontId="80" fillId="0" borderId="16" xfId="0" applyFont="1" applyBorder="1" applyAlignment="1">
      <alignment/>
    </xf>
    <xf numFmtId="4" fontId="80" fillId="0" borderId="13" xfId="0" applyNumberFormat="1" applyFont="1" applyFill="1" applyBorder="1" applyAlignment="1">
      <alignment horizontal="left"/>
    </xf>
    <xf numFmtId="0" fontId="70" fillId="8" borderId="13" xfId="0" applyFont="1" applyFill="1" applyBorder="1" applyAlignment="1">
      <alignment/>
    </xf>
    <xf numFmtId="0" fontId="70" fillId="8" borderId="14" xfId="0" applyFont="1" applyFill="1" applyBorder="1" applyAlignment="1">
      <alignment/>
    </xf>
    <xf numFmtId="4" fontId="72" fillId="8" borderId="16" xfId="0" applyNumberFormat="1" applyFont="1" applyFill="1" applyBorder="1" applyAlignment="1">
      <alignment horizontal="left"/>
    </xf>
    <xf numFmtId="4" fontId="28" fillId="8" borderId="16" xfId="0" applyNumberFormat="1" applyFont="1" applyFill="1" applyBorder="1" applyAlignment="1">
      <alignment horizontal="center"/>
    </xf>
    <xf numFmtId="4" fontId="89" fillId="8" borderId="16" xfId="0" applyNumberFormat="1" applyFont="1" applyFill="1" applyBorder="1" applyAlignment="1">
      <alignment horizontal="right"/>
    </xf>
    <xf numFmtId="3" fontId="80" fillId="8" borderId="16" xfId="0" applyNumberFormat="1" applyFont="1" applyFill="1" applyBorder="1" applyAlignment="1">
      <alignment horizontal="left"/>
    </xf>
    <xf numFmtId="3" fontId="72" fillId="8" borderId="16" xfId="0" applyNumberFormat="1" applyFont="1" applyFill="1" applyBorder="1" applyAlignment="1">
      <alignment horizontal="right"/>
    </xf>
    <xf numFmtId="4" fontId="80" fillId="8" borderId="16" xfId="0" applyNumberFormat="1" applyFont="1" applyFill="1" applyBorder="1" applyAlignment="1">
      <alignment horizontal="left"/>
    </xf>
    <xf numFmtId="4" fontId="80" fillId="0" borderId="16" xfId="0" applyNumberFormat="1" applyFont="1" applyBorder="1" applyAlignment="1">
      <alignment horizontal="left"/>
    </xf>
    <xf numFmtId="2" fontId="82" fillId="0" borderId="16" xfId="0" applyNumberFormat="1" applyFont="1" applyBorder="1" applyAlignment="1">
      <alignment horizontal="left"/>
    </xf>
    <xf numFmtId="4" fontId="80" fillId="8" borderId="13" xfId="0" applyNumberFormat="1" applyFont="1" applyFill="1" applyBorder="1" applyAlignment="1">
      <alignment horizontal="left"/>
    </xf>
    <xf numFmtId="4" fontId="26" fillId="0" borderId="16" xfId="0" applyNumberFormat="1" applyFont="1" applyFill="1" applyBorder="1" applyAlignment="1">
      <alignment/>
    </xf>
    <xf numFmtId="0" fontId="80" fillId="0" borderId="16" xfId="0" applyFont="1" applyBorder="1" applyAlignment="1">
      <alignment horizontal="left"/>
    </xf>
    <xf numFmtId="0" fontId="82" fillId="0" borderId="16" xfId="0" applyFont="1" applyBorder="1" applyAlignment="1">
      <alignment horizontal="left"/>
    </xf>
    <xf numFmtId="4" fontId="80" fillId="0" borderId="13" xfId="0" applyNumberFormat="1" applyFont="1" applyBorder="1" applyAlignment="1">
      <alignment horizontal="left"/>
    </xf>
    <xf numFmtId="0" fontId="0" fillId="8" borderId="16" xfId="0" applyFont="1" applyFill="1" applyBorder="1" applyAlignment="1">
      <alignment/>
    </xf>
    <xf numFmtId="4" fontId="28" fillId="4" borderId="19" xfId="0" applyNumberFormat="1" applyFont="1" applyFill="1" applyBorder="1" applyAlignment="1">
      <alignment/>
    </xf>
    <xf numFmtId="3" fontId="28" fillId="4" borderId="25" xfId="0" applyNumberFormat="1" applyFont="1" applyFill="1" applyBorder="1" applyAlignment="1">
      <alignment/>
    </xf>
    <xf numFmtId="3" fontId="36" fillId="4" borderId="25" xfId="0" applyNumberFormat="1" applyFont="1" applyFill="1" applyBorder="1" applyAlignment="1">
      <alignment/>
    </xf>
    <xf numFmtId="3" fontId="28" fillId="4" borderId="19" xfId="0" applyNumberFormat="1" applyFont="1" applyFill="1" applyBorder="1" applyAlignment="1">
      <alignment/>
    </xf>
    <xf numFmtId="4" fontId="28" fillId="4" borderId="25" xfId="0" applyNumberFormat="1" applyFont="1" applyFill="1" applyBorder="1" applyAlignment="1">
      <alignment/>
    </xf>
    <xf numFmtId="4" fontId="28" fillId="4" borderId="20" xfId="0" applyNumberFormat="1" applyFont="1" applyFill="1" applyBorder="1" applyAlignment="1">
      <alignment/>
    </xf>
    <xf numFmtId="4" fontId="36" fillId="4" borderId="25" xfId="0" applyNumberFormat="1" applyFont="1" applyFill="1" applyBorder="1" applyAlignment="1">
      <alignment/>
    </xf>
    <xf numFmtId="4" fontId="28" fillId="4" borderId="0" xfId="0" applyNumberFormat="1" applyFont="1" applyFill="1" applyBorder="1" applyAlignment="1">
      <alignment/>
    </xf>
    <xf numFmtId="4" fontId="31" fillId="3" borderId="29" xfId="0" applyNumberFormat="1" applyFont="1" applyFill="1" applyBorder="1" applyAlignment="1">
      <alignment horizontal="center"/>
    </xf>
    <xf numFmtId="4" fontId="0" fillId="3" borderId="29" xfId="0" applyNumberFormat="1" applyFont="1" applyFill="1" applyBorder="1" applyAlignment="1">
      <alignment/>
    </xf>
    <xf numFmtId="3" fontId="28" fillId="3" borderId="29" xfId="0" applyNumberFormat="1" applyFont="1" applyFill="1" applyBorder="1" applyAlignment="1">
      <alignment/>
    </xf>
    <xf numFmtId="3" fontId="36" fillId="3" borderId="29" xfId="0" applyNumberFormat="1" applyFont="1" applyFill="1" applyBorder="1" applyAlignment="1">
      <alignment/>
    </xf>
    <xf numFmtId="3" fontId="28" fillId="3" borderId="26" xfId="0" applyNumberFormat="1" applyFont="1" applyFill="1" applyBorder="1" applyAlignment="1">
      <alignment/>
    </xf>
    <xf numFmtId="4" fontId="28" fillId="3" borderId="29" xfId="0" applyNumberFormat="1" applyFont="1" applyFill="1" applyBorder="1" applyAlignment="1">
      <alignment/>
    </xf>
    <xf numFmtId="4" fontId="28" fillId="3" borderId="28" xfId="0" applyNumberFormat="1" applyFont="1" applyFill="1" applyBorder="1" applyAlignment="1">
      <alignment/>
    </xf>
    <xf numFmtId="4" fontId="36" fillId="3" borderId="29" xfId="0" applyNumberFormat="1" applyFont="1" applyFill="1" applyBorder="1" applyAlignment="1">
      <alignment/>
    </xf>
    <xf numFmtId="4" fontId="28" fillId="3" borderId="27" xfId="0" applyNumberFormat="1" applyFont="1" applyFill="1" applyBorder="1" applyAlignment="1">
      <alignment/>
    </xf>
    <xf numFmtId="2" fontId="31" fillId="3" borderId="16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/>
    </xf>
    <xf numFmtId="0" fontId="90" fillId="7" borderId="15" xfId="0" applyFont="1" applyFill="1" applyBorder="1" applyAlignment="1">
      <alignment horizontal="center"/>
    </xf>
    <xf numFmtId="0" fontId="28" fillId="4" borderId="14" xfId="0" applyFont="1" applyFill="1" applyBorder="1" applyAlignment="1">
      <alignment/>
    </xf>
    <xf numFmtId="0" fontId="28" fillId="4" borderId="15" xfId="0" applyFont="1" applyFill="1" applyBorder="1" applyAlignment="1">
      <alignment/>
    </xf>
    <xf numFmtId="3" fontId="31" fillId="4" borderId="16" xfId="0" applyNumberFormat="1" applyFont="1" applyFill="1" applyBorder="1" applyAlignment="1">
      <alignment/>
    </xf>
    <xf numFmtId="3" fontId="31" fillId="4" borderId="13" xfId="0" applyNumberFormat="1" applyFont="1" applyFill="1" applyBorder="1" applyAlignment="1">
      <alignment/>
    </xf>
    <xf numFmtId="0" fontId="31" fillId="4" borderId="17" xfId="0" applyFont="1" applyFill="1" applyBorder="1" applyAlignment="1">
      <alignment/>
    </xf>
    <xf numFmtId="0" fontId="31" fillId="4" borderId="22" xfId="0" applyFont="1" applyFill="1" applyBorder="1" applyAlignment="1">
      <alignment/>
    </xf>
    <xf numFmtId="3" fontId="31" fillId="4" borderId="23" xfId="0" applyNumberFormat="1" applyFont="1" applyFill="1" applyBorder="1" applyAlignment="1">
      <alignment/>
    </xf>
    <xf numFmtId="4" fontId="31" fillId="4" borderId="23" xfId="0" applyNumberFormat="1" applyFont="1" applyFill="1" applyBorder="1" applyAlignment="1">
      <alignment/>
    </xf>
    <xf numFmtId="2" fontId="37" fillId="4" borderId="23" xfId="0" applyNumberFormat="1" applyFont="1" applyFill="1" applyBorder="1" applyAlignment="1">
      <alignment/>
    </xf>
    <xf numFmtId="3" fontId="30" fillId="0" borderId="13" xfId="0" applyNumberFormat="1" applyFont="1" applyFill="1" applyBorder="1" applyAlignment="1">
      <alignment/>
    </xf>
    <xf numFmtId="3" fontId="30" fillId="0" borderId="24" xfId="0" applyNumberFormat="1" applyFont="1" applyFill="1" applyBorder="1" applyAlignment="1">
      <alignment/>
    </xf>
    <xf numFmtId="168" fontId="28" fillId="4" borderId="13" xfId="0" applyNumberFormat="1" applyFont="1" applyFill="1" applyBorder="1" applyAlignment="1">
      <alignment/>
    </xf>
    <xf numFmtId="3" fontId="37" fillId="4" borderId="23" xfId="0" applyNumberFormat="1" applyFont="1" applyFill="1" applyBorder="1" applyAlignment="1">
      <alignment/>
    </xf>
    <xf numFmtId="4" fontId="37" fillId="4" borderId="23" xfId="0" applyNumberFormat="1" applyFont="1" applyFill="1" applyBorder="1" applyAlignment="1">
      <alignment/>
    </xf>
    <xf numFmtId="3" fontId="30" fillId="0" borderId="18" xfId="0" applyNumberFormat="1" applyFont="1" applyFill="1" applyBorder="1" applyAlignment="1">
      <alignment/>
    </xf>
    <xf numFmtId="3" fontId="30" fillId="0" borderId="19" xfId="0" applyNumberFormat="1" applyFont="1" applyFill="1" applyBorder="1" applyAlignment="1">
      <alignment/>
    </xf>
    <xf numFmtId="0" fontId="72" fillId="0" borderId="13" xfId="0" applyFont="1" applyFill="1" applyBorder="1" applyAlignment="1">
      <alignment/>
    </xf>
    <xf numFmtId="0" fontId="72" fillId="0" borderId="15" xfId="0" applyFont="1" applyFill="1" applyBorder="1" applyAlignment="1">
      <alignment/>
    </xf>
    <xf numFmtId="3" fontId="70" fillId="0" borderId="16" xfId="0" applyNumberFormat="1" applyFont="1" applyFill="1" applyBorder="1" applyAlignment="1">
      <alignment/>
    </xf>
    <xf numFmtId="4" fontId="70" fillId="0" borderId="16" xfId="0" applyNumberFormat="1" applyFont="1" applyFill="1" applyBorder="1" applyAlignment="1">
      <alignment horizontal="center"/>
    </xf>
    <xf numFmtId="0" fontId="31" fillId="4" borderId="18" xfId="0" applyFont="1" applyFill="1" applyBorder="1" applyAlignment="1">
      <alignment/>
    </xf>
    <xf numFmtId="3" fontId="31" fillId="4" borderId="17" xfId="0" applyNumberFormat="1" applyFont="1" applyFill="1" applyBorder="1" applyAlignment="1">
      <alignment/>
    </xf>
    <xf numFmtId="0" fontId="31" fillId="4" borderId="23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70" fillId="0" borderId="23" xfId="0" applyFont="1" applyBorder="1" applyAlignment="1">
      <alignment/>
    </xf>
    <xf numFmtId="3" fontId="70" fillId="0" borderId="17" xfId="0" applyNumberFormat="1" applyFont="1" applyBorder="1" applyAlignment="1">
      <alignment horizontal="left"/>
    </xf>
    <xf numFmtId="3" fontId="70" fillId="0" borderId="17" xfId="0" applyNumberFormat="1" applyFont="1" applyBorder="1" applyAlignment="1">
      <alignment/>
    </xf>
    <xf numFmtId="4" fontId="70" fillId="0" borderId="17" xfId="0" applyNumberFormat="1" applyFont="1" applyBorder="1" applyAlignment="1">
      <alignment horizontal="center"/>
    </xf>
    <xf numFmtId="3" fontId="70" fillId="0" borderId="18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30" fillId="0" borderId="23" xfId="0" applyNumberFormat="1" applyFont="1" applyBorder="1" applyAlignment="1">
      <alignment/>
    </xf>
    <xf numFmtId="0" fontId="70" fillId="0" borderId="15" xfId="0" applyFont="1" applyBorder="1" applyAlignment="1">
      <alignment/>
    </xf>
    <xf numFmtId="3" fontId="70" fillId="0" borderId="13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0" fontId="31" fillId="4" borderId="16" xfId="0" applyFont="1" applyFill="1" applyBorder="1" applyAlignment="1">
      <alignment/>
    </xf>
    <xf numFmtId="3" fontId="31" fillId="4" borderId="22" xfId="0" applyNumberFormat="1" applyFont="1" applyFill="1" applyBorder="1" applyAlignment="1">
      <alignment/>
    </xf>
    <xf numFmtId="4" fontId="31" fillId="4" borderId="22" xfId="0" applyNumberFormat="1" applyFont="1" applyFill="1" applyBorder="1" applyAlignment="1">
      <alignment/>
    </xf>
    <xf numFmtId="4" fontId="30" fillId="0" borderId="14" xfId="0" applyNumberFormat="1" applyFont="1" applyBorder="1" applyAlignment="1">
      <alignment/>
    </xf>
    <xf numFmtId="3" fontId="30" fillId="0" borderId="0" xfId="0" applyNumberFormat="1" applyFont="1" applyBorder="1" applyAlignment="1">
      <alignment horizontal="left"/>
    </xf>
    <xf numFmtId="0" fontId="31" fillId="4" borderId="14" xfId="0" applyFont="1" applyFill="1" applyBorder="1" applyAlignment="1">
      <alignment/>
    </xf>
    <xf numFmtId="0" fontId="31" fillId="4" borderId="15" xfId="0" applyFont="1" applyFill="1" applyBorder="1" applyAlignment="1">
      <alignment/>
    </xf>
    <xf numFmtId="3" fontId="31" fillId="4" borderId="16" xfId="0" applyNumberFormat="1" applyFont="1" applyFill="1" applyBorder="1" applyAlignment="1">
      <alignment horizontal="left"/>
    </xf>
    <xf numFmtId="4" fontId="31" fillId="4" borderId="15" xfId="0" applyNumberFormat="1" applyFont="1" applyFill="1" applyBorder="1" applyAlignment="1">
      <alignment horizontal="center"/>
    </xf>
    <xf numFmtId="4" fontId="31" fillId="4" borderId="16" xfId="0" applyNumberFormat="1" applyFont="1" applyFill="1" applyBorder="1" applyAlignment="1">
      <alignment/>
    </xf>
    <xf numFmtId="4" fontId="31" fillId="4" borderId="13" xfId="0" applyNumberFormat="1" applyFont="1" applyFill="1" applyBorder="1" applyAlignment="1">
      <alignment/>
    </xf>
    <xf numFmtId="3" fontId="31" fillId="4" borderId="18" xfId="0" applyNumberFormat="1" applyFont="1" applyFill="1" applyBorder="1" applyAlignment="1">
      <alignment/>
    </xf>
    <xf numFmtId="0" fontId="26" fillId="0" borderId="14" xfId="0" applyFont="1" applyBorder="1" applyAlignment="1">
      <alignment/>
    </xf>
    <xf numFmtId="3" fontId="26" fillId="0" borderId="16" xfId="0" applyNumberFormat="1" applyFont="1" applyBorder="1" applyAlignment="1">
      <alignment/>
    </xf>
    <xf numFmtId="4" fontId="26" fillId="0" borderId="16" xfId="0" applyNumberFormat="1" applyFont="1" applyBorder="1" applyAlignment="1">
      <alignment horizontal="center"/>
    </xf>
    <xf numFmtId="3" fontId="71" fillId="0" borderId="13" xfId="0" applyNumberFormat="1" applyFont="1" applyBorder="1" applyAlignment="1">
      <alignment/>
    </xf>
    <xf numFmtId="0" fontId="26" fillId="0" borderId="24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28" fillId="4" borderId="16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3" fontId="30" fillId="4" borderId="13" xfId="0" applyNumberFormat="1" applyFont="1" applyFill="1" applyBorder="1" applyAlignment="1">
      <alignment/>
    </xf>
    <xf numFmtId="3" fontId="41" fillId="4" borderId="17" xfId="0" applyNumberFormat="1" applyFont="1" applyFill="1" applyBorder="1" applyAlignment="1">
      <alignment/>
    </xf>
    <xf numFmtId="4" fontId="31" fillId="4" borderId="17" xfId="0" applyNumberFormat="1" applyFont="1" applyFill="1" applyBorder="1" applyAlignment="1">
      <alignment/>
    </xf>
    <xf numFmtId="4" fontId="41" fillId="4" borderId="17" xfId="0" applyNumberFormat="1" applyFont="1" applyFill="1" applyBorder="1" applyAlignment="1">
      <alignment/>
    </xf>
    <xf numFmtId="4" fontId="31" fillId="4" borderId="18" xfId="0" applyNumberFormat="1" applyFont="1" applyFill="1" applyBorder="1" applyAlignment="1">
      <alignment/>
    </xf>
    <xf numFmtId="0" fontId="26" fillId="0" borderId="21" xfId="0" applyFont="1" applyBorder="1" applyAlignment="1">
      <alignment/>
    </xf>
    <xf numFmtId="0" fontId="26" fillId="0" borderId="25" xfId="0" applyFont="1" applyBorder="1" applyAlignment="1">
      <alignment/>
    </xf>
    <xf numFmtId="2" fontId="33" fillId="0" borderId="16" xfId="0" applyNumberFormat="1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14" xfId="0" applyFont="1" applyBorder="1" applyAlignment="1">
      <alignment/>
    </xf>
    <xf numFmtId="0" fontId="72" fillId="0" borderId="15" xfId="0" applyFont="1" applyBorder="1" applyAlignment="1">
      <alignment/>
    </xf>
    <xf numFmtId="3" fontId="72" fillId="0" borderId="16" xfId="0" applyNumberFormat="1" applyFont="1" applyBorder="1" applyAlignment="1">
      <alignment/>
    </xf>
    <xf numFmtId="4" fontId="72" fillId="0" borderId="16" xfId="0" applyNumberFormat="1" applyFont="1" applyBorder="1" applyAlignment="1">
      <alignment horizontal="center"/>
    </xf>
    <xf numFmtId="3" fontId="72" fillId="0" borderId="13" xfId="0" applyNumberFormat="1" applyFont="1" applyBorder="1" applyAlignment="1">
      <alignment/>
    </xf>
    <xf numFmtId="0" fontId="72" fillId="0" borderId="21" xfId="0" applyFont="1" applyBorder="1" applyAlignment="1">
      <alignment/>
    </xf>
    <xf numFmtId="3" fontId="72" fillId="0" borderId="21" xfId="0" applyNumberFormat="1" applyFont="1" applyBorder="1" applyAlignment="1">
      <alignment/>
    </xf>
    <xf numFmtId="3" fontId="82" fillId="0" borderId="21" xfId="0" applyNumberFormat="1" applyFont="1" applyBorder="1" applyAlignment="1">
      <alignment/>
    </xf>
    <xf numFmtId="4" fontId="72" fillId="0" borderId="21" xfId="0" applyNumberFormat="1" applyFont="1" applyBorder="1" applyAlignment="1">
      <alignment horizontal="left"/>
    </xf>
    <xf numFmtId="4" fontId="34" fillId="0" borderId="21" xfId="0" applyNumberFormat="1" applyFont="1" applyBorder="1" applyAlignment="1">
      <alignment/>
    </xf>
    <xf numFmtId="0" fontId="28" fillId="4" borderId="18" xfId="0" applyFont="1" applyFill="1" applyBorder="1" applyAlignment="1">
      <alignment/>
    </xf>
    <xf numFmtId="0" fontId="28" fillId="4" borderId="22" xfId="0" applyFont="1" applyFill="1" applyBorder="1" applyAlignment="1">
      <alignment/>
    </xf>
    <xf numFmtId="0" fontId="28" fillId="4" borderId="23" xfId="0" applyFont="1" applyFill="1" applyBorder="1" applyAlignment="1">
      <alignment/>
    </xf>
    <xf numFmtId="169" fontId="31" fillId="4" borderId="17" xfId="0" applyNumberFormat="1" applyFont="1" applyFill="1" applyBorder="1" applyAlignment="1">
      <alignment/>
    </xf>
    <xf numFmtId="170" fontId="31" fillId="4" borderId="17" xfId="0" applyNumberFormat="1" applyFont="1" applyFill="1" applyBorder="1" applyAlignment="1">
      <alignment/>
    </xf>
    <xf numFmtId="3" fontId="30" fillId="4" borderId="17" xfId="0" applyNumberFormat="1" applyFont="1" applyFill="1" applyBorder="1" applyAlignment="1">
      <alignment/>
    </xf>
    <xf numFmtId="169" fontId="31" fillId="4" borderId="16" xfId="0" applyNumberFormat="1" applyFont="1" applyFill="1" applyBorder="1" applyAlignment="1">
      <alignment/>
    </xf>
    <xf numFmtId="3" fontId="37" fillId="4" borderId="16" xfId="0" applyNumberFormat="1" applyFont="1" applyFill="1" applyBorder="1" applyAlignment="1">
      <alignment/>
    </xf>
    <xf numFmtId="170" fontId="41" fillId="4" borderId="16" xfId="0" applyNumberFormat="1" applyFont="1" applyFill="1" applyBorder="1" applyAlignment="1">
      <alignment/>
    </xf>
    <xf numFmtId="2" fontId="28" fillId="4" borderId="16" xfId="0" applyNumberFormat="1" applyFont="1" applyFill="1" applyBorder="1" applyAlignment="1">
      <alignment horizontal="center"/>
    </xf>
    <xf numFmtId="169" fontId="26" fillId="0" borderId="16" xfId="0" applyNumberFormat="1" applyFont="1" applyBorder="1" applyAlignment="1">
      <alignment/>
    </xf>
    <xf numFmtId="169" fontId="30" fillId="0" borderId="16" xfId="0" applyNumberFormat="1" applyFont="1" applyBorder="1" applyAlignment="1">
      <alignment horizontal="left"/>
    </xf>
    <xf numFmtId="169" fontId="30" fillId="0" borderId="13" xfId="0" applyNumberFormat="1" applyFont="1" applyBorder="1" applyAlignment="1">
      <alignment horizontal="left"/>
    </xf>
    <xf numFmtId="169" fontId="30" fillId="0" borderId="16" xfId="0" applyNumberFormat="1" applyFont="1" applyBorder="1" applyAlignment="1">
      <alignment/>
    </xf>
    <xf numFmtId="169" fontId="30" fillId="0" borderId="13" xfId="0" applyNumberFormat="1" applyFont="1" applyBorder="1" applyAlignment="1">
      <alignment/>
    </xf>
    <xf numFmtId="169" fontId="30" fillId="0" borderId="17" xfId="0" applyNumberFormat="1" applyFont="1" applyBorder="1" applyAlignment="1">
      <alignment horizontal="left"/>
    </xf>
    <xf numFmtId="0" fontId="26" fillId="0" borderId="17" xfId="0" applyFont="1" applyBorder="1" applyAlignment="1">
      <alignment/>
    </xf>
    <xf numFmtId="169" fontId="72" fillId="0" borderId="16" xfId="0" applyNumberFormat="1" applyFont="1" applyBorder="1" applyAlignment="1">
      <alignment horizontal="left"/>
    </xf>
    <xf numFmtId="169" fontId="72" fillId="0" borderId="0" xfId="0" applyNumberFormat="1" applyFont="1" applyBorder="1" applyAlignment="1">
      <alignment/>
    </xf>
    <xf numFmtId="169" fontId="72" fillId="0" borderId="0" xfId="0" applyNumberFormat="1" applyFont="1" applyBorder="1" applyAlignment="1">
      <alignment horizontal="left"/>
    </xf>
    <xf numFmtId="4" fontId="72" fillId="0" borderId="0" xfId="0" applyNumberFormat="1" applyFont="1" applyBorder="1" applyAlignment="1">
      <alignment horizontal="center"/>
    </xf>
    <xf numFmtId="4" fontId="72" fillId="0" borderId="16" xfId="0" applyNumberFormat="1" applyFont="1" applyBorder="1" applyAlignment="1">
      <alignment/>
    </xf>
    <xf numFmtId="4" fontId="72" fillId="0" borderId="13" xfId="0" applyNumberFormat="1" applyFont="1" applyBorder="1" applyAlignment="1">
      <alignment horizontal="left"/>
    </xf>
    <xf numFmtId="0" fontId="24" fillId="3" borderId="60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24" fillId="3" borderId="59" xfId="0" applyFont="1" applyFill="1" applyBorder="1" applyAlignment="1">
      <alignment/>
    </xf>
    <xf numFmtId="169" fontId="31" fillId="3" borderId="55" xfId="0" applyNumberFormat="1" applyFont="1" applyFill="1" applyBorder="1" applyAlignment="1">
      <alignment horizontal="right"/>
    </xf>
    <xf numFmtId="169" fontId="31" fillId="3" borderId="28" xfId="0" applyNumberFormat="1" applyFont="1" applyFill="1" applyBorder="1" applyAlignment="1">
      <alignment horizontal="right"/>
    </xf>
    <xf numFmtId="170" fontId="31" fillId="3" borderId="29" xfId="0" applyNumberFormat="1" applyFont="1" applyFill="1" applyBorder="1" applyAlignment="1">
      <alignment horizontal="right"/>
    </xf>
    <xf numFmtId="169" fontId="31" fillId="3" borderId="27" xfId="0" applyNumberFormat="1" applyFont="1" applyFill="1" applyBorder="1" applyAlignment="1">
      <alignment horizontal="right"/>
    </xf>
    <xf numFmtId="0" fontId="0" fillId="3" borderId="29" xfId="0" applyFont="1" applyFill="1" applyBorder="1" applyAlignment="1">
      <alignment/>
    </xf>
    <xf numFmtId="3" fontId="28" fillId="3" borderId="55" xfId="0" applyNumberFormat="1" applyFont="1" applyFill="1" applyBorder="1" applyAlignment="1">
      <alignment/>
    </xf>
    <xf numFmtId="3" fontId="31" fillId="3" borderId="57" xfId="0" applyNumberFormat="1" applyFont="1" applyFill="1" applyBorder="1" applyAlignment="1">
      <alignment horizontal="right"/>
    </xf>
    <xf numFmtId="3" fontId="29" fillId="3" borderId="55" xfId="0" applyNumberFormat="1" applyFont="1" applyFill="1" applyBorder="1" applyAlignment="1">
      <alignment/>
    </xf>
    <xf numFmtId="4" fontId="28" fillId="3" borderId="55" xfId="0" applyNumberFormat="1" applyFont="1" applyFill="1" applyBorder="1" applyAlignment="1">
      <alignment/>
    </xf>
    <xf numFmtId="4" fontId="29" fillId="3" borderId="55" xfId="0" applyNumberFormat="1" applyFont="1" applyFill="1" applyBorder="1" applyAlignment="1">
      <alignment/>
    </xf>
    <xf numFmtId="4" fontId="28" fillId="3" borderId="60" xfId="0" applyNumberFormat="1" applyFont="1" applyFill="1" applyBorder="1" applyAlignment="1">
      <alignment/>
    </xf>
    <xf numFmtId="2" fontId="28" fillId="3" borderId="16" xfId="0" applyNumberFormat="1" applyFont="1" applyFill="1" applyBorder="1" applyAlignment="1">
      <alignment horizontal="center"/>
    </xf>
    <xf numFmtId="3" fontId="30" fillId="0" borderId="22" xfId="0" applyNumberFormat="1" applyFont="1" applyBorder="1" applyAlignment="1">
      <alignment/>
    </xf>
    <xf numFmtId="0" fontId="28" fillId="3" borderId="29" xfId="0" applyFont="1" applyFill="1" applyBorder="1" applyAlignment="1">
      <alignment/>
    </xf>
    <xf numFmtId="4" fontId="29" fillId="3" borderId="29" xfId="0" applyNumberFormat="1" applyFont="1" applyFill="1" applyBorder="1" applyAlignment="1">
      <alignment/>
    </xf>
    <xf numFmtId="4" fontId="28" fillId="3" borderId="26" xfId="0" applyNumberFormat="1" applyFont="1" applyFill="1" applyBorder="1" applyAlignment="1">
      <alignment/>
    </xf>
    <xf numFmtId="0" fontId="68" fillId="4" borderId="13" xfId="0" applyFont="1" applyFill="1" applyBorder="1" applyAlignment="1">
      <alignment/>
    </xf>
    <xf numFmtId="0" fontId="69" fillId="4" borderId="13" xfId="0" applyFont="1" applyFill="1" applyBorder="1" applyAlignment="1">
      <alignment/>
    </xf>
    <xf numFmtId="0" fontId="69" fillId="4" borderId="14" xfId="0" applyFont="1" applyFill="1" applyBorder="1" applyAlignment="1">
      <alignment/>
    </xf>
    <xf numFmtId="0" fontId="68" fillId="4" borderId="16" xfId="0" applyFont="1" applyFill="1" applyBorder="1" applyAlignment="1">
      <alignment horizontal="justify" vertical="center"/>
    </xf>
    <xf numFmtId="0" fontId="68" fillId="4" borderId="16" xfId="0" applyFont="1" applyFill="1" applyBorder="1" applyAlignment="1">
      <alignment horizontal="center" vertical="center"/>
    </xf>
    <xf numFmtId="0" fontId="68" fillId="4" borderId="17" xfId="0" applyFont="1" applyFill="1" applyBorder="1" applyAlignment="1">
      <alignment horizontal="justify" vertical="center"/>
    </xf>
    <xf numFmtId="0" fontId="68" fillId="4" borderId="17" xfId="0" applyFont="1" applyFill="1" applyBorder="1" applyAlignment="1">
      <alignment horizontal="center" vertical="center"/>
    </xf>
    <xf numFmtId="2" fontId="68" fillId="4" borderId="17" xfId="0" applyNumberFormat="1" applyFont="1" applyFill="1" applyBorder="1" applyAlignment="1">
      <alignment horizontal="justify" vertical="center"/>
    </xf>
    <xf numFmtId="1" fontId="68" fillId="4" borderId="17" xfId="0" applyNumberFormat="1" applyFont="1" applyFill="1" applyBorder="1" applyAlignment="1">
      <alignment horizontal="justify" vertical="top"/>
    </xf>
    <xf numFmtId="1" fontId="68" fillId="4" borderId="17" xfId="0" applyNumberFormat="1" applyFont="1" applyFill="1" applyBorder="1" applyAlignment="1">
      <alignment horizontal="center" vertical="center"/>
    </xf>
    <xf numFmtId="4" fontId="24" fillId="4" borderId="16" xfId="0" applyNumberFormat="1" applyFont="1" applyFill="1" applyBorder="1" applyAlignment="1">
      <alignment horizontal="justify" vertical="center"/>
    </xf>
    <xf numFmtId="2" fontId="68" fillId="4" borderId="16" xfId="0" applyNumberFormat="1" applyFont="1" applyFill="1" applyBorder="1" applyAlignment="1">
      <alignment horizontal="justify" vertical="center"/>
    </xf>
    <xf numFmtId="2" fontId="24" fillId="4" borderId="17" xfId="0" applyNumberFormat="1" applyFont="1" applyFill="1" applyBorder="1" applyAlignment="1">
      <alignment horizontal="justify" vertical="center"/>
    </xf>
    <xf numFmtId="2" fontId="24" fillId="4" borderId="16" xfId="0" applyNumberFormat="1" applyFont="1" applyFill="1" applyBorder="1" applyAlignment="1">
      <alignment horizontal="justify" vertical="center"/>
    </xf>
    <xf numFmtId="3" fontId="24" fillId="4" borderId="16" xfId="0" applyNumberFormat="1" applyFont="1" applyFill="1" applyBorder="1" applyAlignment="1">
      <alignment horizontal="justify" vertical="center"/>
    </xf>
    <xf numFmtId="2" fontId="24" fillId="4" borderId="18" xfId="0" applyNumberFormat="1" applyFont="1" applyFill="1" applyBorder="1" applyAlignment="1">
      <alignment horizontal="justify" vertic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4" fontId="30" fillId="0" borderId="13" xfId="0" applyNumberFormat="1" applyFont="1" applyFill="1" applyBorder="1" applyAlignment="1">
      <alignment horizontal="center"/>
    </xf>
    <xf numFmtId="0" fontId="30" fillId="0" borderId="22" xfId="0" applyFont="1" applyBorder="1" applyAlignment="1">
      <alignment horizontal="center"/>
    </xf>
    <xf numFmtId="2" fontId="31" fillId="0" borderId="16" xfId="0" applyNumberFormat="1" applyFont="1" applyBorder="1" applyAlignment="1">
      <alignment horizontal="center"/>
    </xf>
    <xf numFmtId="4" fontId="30" fillId="0" borderId="24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4" fontId="30" fillId="0" borderId="13" xfId="0" applyNumberFormat="1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4" fontId="33" fillId="0" borderId="21" xfId="0" applyNumberFormat="1" applyFont="1" applyBorder="1" applyAlignment="1">
      <alignment/>
    </xf>
    <xf numFmtId="3" fontId="30" fillId="4" borderId="16" xfId="0" applyNumberFormat="1" applyFont="1" applyFill="1" applyBorder="1" applyAlignment="1">
      <alignment horizontal="right"/>
    </xf>
    <xf numFmtId="4" fontId="30" fillId="4" borderId="16" xfId="0" applyNumberFormat="1" applyFont="1" applyFill="1" applyBorder="1" applyAlignment="1">
      <alignment horizontal="right"/>
    </xf>
    <xf numFmtId="4" fontId="30" fillId="4" borderId="13" xfId="0" applyNumberFormat="1" applyFont="1" applyFill="1" applyBorder="1" applyAlignment="1">
      <alignment horizontal="center"/>
    </xf>
    <xf numFmtId="0" fontId="30" fillId="4" borderId="14" xfId="0" applyFont="1" applyFill="1" applyBorder="1" applyAlignment="1">
      <alignment horizontal="center"/>
    </xf>
    <xf numFmtId="3" fontId="32" fillId="4" borderId="16" xfId="0" applyNumberFormat="1" applyFont="1" applyFill="1" applyBorder="1" applyAlignment="1">
      <alignment/>
    </xf>
    <xf numFmtId="4" fontId="30" fillId="4" borderId="16" xfId="0" applyNumberFormat="1" applyFont="1" applyFill="1" applyBorder="1" applyAlignment="1">
      <alignment/>
    </xf>
    <xf numFmtId="4" fontId="33" fillId="4" borderId="16" xfId="0" applyNumberFormat="1" applyFont="1" applyFill="1" applyBorder="1" applyAlignment="1">
      <alignment/>
    </xf>
    <xf numFmtId="4" fontId="30" fillId="4" borderId="13" xfId="0" applyNumberFormat="1" applyFont="1" applyFill="1" applyBorder="1" applyAlignment="1">
      <alignment/>
    </xf>
    <xf numFmtId="0" fontId="9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2" fontId="30" fillId="0" borderId="17" xfId="0" applyNumberFormat="1" applyFont="1" applyBorder="1" applyAlignment="1">
      <alignment horizontal="center"/>
    </xf>
    <xf numFmtId="4" fontId="30" fillId="0" borderId="22" xfId="0" applyNumberFormat="1" applyFont="1" applyBorder="1" applyAlignment="1">
      <alignment/>
    </xf>
    <xf numFmtId="2" fontId="30" fillId="0" borderId="16" xfId="0" applyNumberFormat="1" applyFont="1" applyBorder="1" applyAlignment="1">
      <alignment horizontal="center"/>
    </xf>
    <xf numFmtId="2" fontId="30" fillId="0" borderId="21" xfId="0" applyNumberFormat="1" applyFont="1" applyBorder="1" applyAlignment="1">
      <alignment horizontal="center"/>
    </xf>
    <xf numFmtId="3" fontId="30" fillId="0" borderId="63" xfId="0" applyNumberFormat="1" applyFont="1" applyBorder="1" applyAlignment="1">
      <alignment/>
    </xf>
    <xf numFmtId="4" fontId="30" fillId="0" borderId="63" xfId="0" applyNumberFormat="1" applyFont="1" applyBorder="1" applyAlignment="1">
      <alignment/>
    </xf>
    <xf numFmtId="2" fontId="30" fillId="4" borderId="21" xfId="0" applyNumberFormat="1" applyFont="1" applyFill="1" applyBorder="1" applyAlignment="1">
      <alignment horizontal="center"/>
    </xf>
    <xf numFmtId="3" fontId="30" fillId="4" borderId="63" xfId="0" applyNumberFormat="1" applyFont="1" applyFill="1" applyBorder="1" applyAlignment="1">
      <alignment/>
    </xf>
    <xf numFmtId="3" fontId="32" fillId="4" borderId="21" xfId="0" applyNumberFormat="1" applyFont="1" applyFill="1" applyBorder="1" applyAlignment="1">
      <alignment/>
    </xf>
    <xf numFmtId="4" fontId="30" fillId="4" borderId="63" xfId="0" applyNumberFormat="1" applyFont="1" applyFill="1" applyBorder="1" applyAlignment="1">
      <alignment/>
    </xf>
    <xf numFmtId="4" fontId="30" fillId="4" borderId="21" xfId="0" applyNumberFormat="1" applyFont="1" applyFill="1" applyBorder="1" applyAlignment="1">
      <alignment/>
    </xf>
    <xf numFmtId="4" fontId="33" fillId="4" borderId="21" xfId="0" applyNumberFormat="1" applyFont="1" applyFill="1" applyBorder="1" applyAlignment="1">
      <alignment/>
    </xf>
    <xf numFmtId="4" fontId="30" fillId="4" borderId="24" xfId="0" applyNumberFormat="1" applyFont="1" applyFill="1" applyBorder="1" applyAlignment="1">
      <alignment/>
    </xf>
    <xf numFmtId="3" fontId="50" fillId="7" borderId="34" xfId="584" applyNumberFormat="1" applyFont="1" applyFill="1" applyBorder="1" applyAlignment="1">
      <alignment/>
      <protection/>
    </xf>
    <xf numFmtId="3" fontId="49" fillId="7" borderId="88" xfId="584" applyNumberFormat="1" applyFont="1" applyFill="1" applyBorder="1">
      <alignment/>
      <protection/>
    </xf>
    <xf numFmtId="3" fontId="49" fillId="7" borderId="89" xfId="584" applyNumberFormat="1" applyFont="1" applyFill="1" applyBorder="1">
      <alignment/>
      <protection/>
    </xf>
    <xf numFmtId="0" fontId="49" fillId="7" borderId="90" xfId="584" applyNumberFormat="1" applyFont="1" applyFill="1" applyBorder="1" applyAlignment="1">
      <alignment horizontal="center"/>
      <protection/>
    </xf>
    <xf numFmtId="164" fontId="1" fillId="9" borderId="31" xfId="584" applyNumberFormat="1" applyFont="1" applyFill="1" applyBorder="1" applyAlignment="1">
      <alignment horizontal="center"/>
      <protection/>
    </xf>
    <xf numFmtId="1" fontId="1" fillId="9" borderId="91" xfId="584" applyNumberFormat="1" applyFont="1" applyFill="1" applyBorder="1" applyAlignment="1">
      <alignment horizontal="center" vertical="center"/>
      <protection/>
    </xf>
    <xf numFmtId="3" fontId="49" fillId="7" borderId="42" xfId="584" applyNumberFormat="1" applyFont="1" applyFill="1" applyBorder="1" applyAlignment="1">
      <alignment/>
      <protection/>
    </xf>
    <xf numFmtId="3" fontId="49" fillId="7" borderId="91" xfId="584" applyNumberFormat="1" applyFont="1" applyFill="1" applyBorder="1" applyAlignment="1">
      <alignment/>
      <protection/>
    </xf>
    <xf numFmtId="0" fontId="1" fillId="0" borderId="22" xfId="584" applyFont="1" applyBorder="1">
      <alignment/>
      <protection/>
    </xf>
    <xf numFmtId="3" fontId="1" fillId="0" borderId="38" xfId="584" applyNumberFormat="1" applyFont="1" applyBorder="1">
      <alignment/>
      <protection/>
    </xf>
    <xf numFmtId="0" fontId="1" fillId="0" borderId="92" xfId="584" applyFont="1" applyBorder="1">
      <alignment/>
      <protection/>
    </xf>
    <xf numFmtId="3" fontId="1" fillId="0" borderId="93" xfId="584" applyNumberFormat="1" applyFont="1" applyBorder="1">
      <alignment/>
      <protection/>
    </xf>
    <xf numFmtId="0" fontId="55" fillId="10" borderId="94" xfId="584" applyFont="1" applyFill="1" applyBorder="1" applyAlignment="1">
      <alignment vertical="center"/>
      <protection/>
    </xf>
    <xf numFmtId="0" fontId="55" fillId="10" borderId="95" xfId="584" applyFont="1" applyFill="1" applyBorder="1" applyAlignment="1">
      <alignment vertical="center"/>
      <protection/>
    </xf>
    <xf numFmtId="0" fontId="55" fillId="10" borderId="96" xfId="584" applyFont="1" applyFill="1" applyBorder="1" applyAlignment="1">
      <alignment horizontal="left" vertical="center"/>
      <protection/>
    </xf>
    <xf numFmtId="0" fontId="1" fillId="10" borderId="97" xfId="584" applyFont="1" applyFill="1" applyBorder="1" applyAlignment="1">
      <alignment horizontal="center"/>
      <protection/>
    </xf>
    <xf numFmtId="0" fontId="55" fillId="10" borderId="98" xfId="584" applyFont="1" applyFill="1" applyBorder="1" applyAlignment="1">
      <alignment horizontal="left" vertical="center"/>
      <protection/>
    </xf>
    <xf numFmtId="0" fontId="0" fillId="10" borderId="99" xfId="584" applyFont="1" applyFill="1" applyBorder="1" applyAlignment="1">
      <alignment horizontal="center" vertical="center"/>
      <protection/>
    </xf>
    <xf numFmtId="0" fontId="53" fillId="0" borderId="100" xfId="584" applyFont="1" applyFill="1" applyBorder="1" applyAlignment="1">
      <alignment horizontal="left" vertical="center"/>
      <protection/>
    </xf>
    <xf numFmtId="0" fontId="67" fillId="0" borderId="101" xfId="584" applyFont="1" applyBorder="1">
      <alignment/>
      <protection/>
    </xf>
    <xf numFmtId="0" fontId="1" fillId="0" borderId="102" xfId="584" applyFont="1" applyBorder="1">
      <alignment/>
      <protection/>
    </xf>
    <xf numFmtId="4" fontId="1" fillId="0" borderId="103" xfId="584" applyNumberFormat="1" applyFont="1" applyBorder="1" applyAlignment="1">
      <alignment horizontal="center"/>
      <protection/>
    </xf>
    <xf numFmtId="0" fontId="1" fillId="0" borderId="104" xfId="584" applyFont="1" applyBorder="1">
      <alignment/>
      <protection/>
    </xf>
    <xf numFmtId="4" fontId="1" fillId="0" borderId="105" xfId="584" applyNumberFormat="1" applyFont="1" applyBorder="1" applyAlignment="1">
      <alignment horizontal="center"/>
      <protection/>
    </xf>
    <xf numFmtId="0" fontId="1" fillId="0" borderId="106" xfId="584" applyFont="1" applyBorder="1">
      <alignment/>
      <protection/>
    </xf>
    <xf numFmtId="4" fontId="1" fillId="0" borderId="107" xfId="584" applyNumberFormat="1" applyFont="1" applyBorder="1" applyAlignment="1">
      <alignment horizontal="center"/>
      <protection/>
    </xf>
    <xf numFmtId="0" fontId="1" fillId="0" borderId="96" xfId="584" applyFont="1" applyBorder="1">
      <alignment/>
      <protection/>
    </xf>
    <xf numFmtId="4" fontId="1" fillId="0" borderId="108" xfId="584" applyNumberFormat="1" applyFont="1" applyBorder="1" applyAlignment="1">
      <alignment horizontal="center"/>
      <protection/>
    </xf>
    <xf numFmtId="0" fontId="55" fillId="15" borderId="109" xfId="584" applyFont="1" applyFill="1" applyBorder="1">
      <alignment/>
      <protection/>
    </xf>
    <xf numFmtId="0" fontId="55" fillId="15" borderId="110" xfId="584" applyFont="1" applyFill="1" applyBorder="1">
      <alignment/>
      <protection/>
    </xf>
    <xf numFmtId="3" fontId="55" fillId="15" borderId="111" xfId="584" applyNumberFormat="1" applyFont="1" applyFill="1" applyBorder="1">
      <alignment/>
      <protection/>
    </xf>
    <xf numFmtId="4" fontId="55" fillId="15" borderId="112" xfId="584" applyNumberFormat="1" applyFont="1" applyFill="1" applyBorder="1" applyAlignment="1">
      <alignment horizontal="center"/>
      <protection/>
    </xf>
    <xf numFmtId="2" fontId="31" fillId="4" borderId="17" xfId="0" applyNumberFormat="1" applyFont="1" applyFill="1" applyBorder="1" applyAlignment="1">
      <alignment horizontal="center"/>
    </xf>
    <xf numFmtId="2" fontId="31" fillId="3" borderId="91" xfId="0" applyNumberFormat="1" applyFont="1" applyFill="1" applyBorder="1" applyAlignment="1">
      <alignment horizontal="center"/>
    </xf>
    <xf numFmtId="0" fontId="31" fillId="4" borderId="17" xfId="0" applyFont="1" applyFill="1" applyBorder="1" applyAlignment="1">
      <alignment horizontal="center"/>
    </xf>
    <xf numFmtId="0" fontId="31" fillId="3" borderId="91" xfId="0" applyFont="1" applyFill="1" applyBorder="1" applyAlignment="1">
      <alignment horizontal="center"/>
    </xf>
    <xf numFmtId="4" fontId="36" fillId="15" borderId="16" xfId="0" applyNumberFormat="1" applyFont="1" applyFill="1" applyBorder="1" applyAlignment="1">
      <alignment horizontal="right"/>
    </xf>
    <xf numFmtId="4" fontId="32" fillId="0" borderId="17" xfId="0" applyNumberFormat="1" applyFont="1" applyBorder="1" applyAlignment="1">
      <alignment horizontal="right"/>
    </xf>
    <xf numFmtId="4" fontId="37" fillId="4" borderId="16" xfId="0" applyNumberFormat="1" applyFont="1" applyFill="1" applyBorder="1" applyAlignment="1">
      <alignment horizontal="right"/>
    </xf>
    <xf numFmtId="4" fontId="29" fillId="15" borderId="16" xfId="0" applyNumberFormat="1" applyFont="1" applyFill="1" applyBorder="1" applyAlignment="1">
      <alignment horizontal="right"/>
    </xf>
    <xf numFmtId="4" fontId="33" fillId="0" borderId="16" xfId="0" applyNumberFormat="1" applyFont="1" applyBorder="1" applyAlignment="1">
      <alignment horizontal="right"/>
    </xf>
    <xf numFmtId="4" fontId="32" fillId="0" borderId="16" xfId="0" applyNumberFormat="1" applyFont="1" applyBorder="1" applyAlignment="1">
      <alignment horizontal="right"/>
    </xf>
    <xf numFmtId="4" fontId="32" fillId="6" borderId="21" xfId="0" applyNumberFormat="1" applyFont="1" applyFill="1" applyBorder="1" applyAlignment="1">
      <alignment horizontal="right"/>
    </xf>
    <xf numFmtId="4" fontId="32" fillId="0" borderId="21" xfId="0" applyNumberFormat="1" applyFont="1" applyBorder="1" applyAlignment="1">
      <alignment horizontal="right"/>
    </xf>
    <xf numFmtId="4" fontId="33" fillId="0" borderId="21" xfId="0" applyNumberFormat="1" applyFont="1" applyBorder="1" applyAlignment="1">
      <alignment horizontal="right"/>
    </xf>
    <xf numFmtId="4" fontId="38" fillId="0" borderId="16" xfId="0" applyNumberFormat="1" applyFont="1" applyBorder="1" applyAlignment="1">
      <alignment horizontal="right"/>
    </xf>
    <xf numFmtId="4" fontId="28" fillId="15" borderId="15" xfId="0" applyNumberFormat="1" applyFont="1" applyFill="1" applyBorder="1" applyAlignment="1">
      <alignment horizontal="right"/>
    </xf>
    <xf numFmtId="4" fontId="30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  <xf numFmtId="4" fontId="36" fillId="4" borderId="13" xfId="0" applyNumberFormat="1" applyFont="1" applyFill="1" applyBorder="1" applyAlignment="1">
      <alignment horizontal="right"/>
    </xf>
    <xf numFmtId="4" fontId="36" fillId="4" borderId="16" xfId="0" applyNumberFormat="1" applyFont="1" applyFill="1" applyBorder="1" applyAlignment="1">
      <alignment horizontal="right"/>
    </xf>
    <xf numFmtId="4" fontId="33" fillId="0" borderId="16" xfId="0" applyNumberFormat="1" applyFont="1" applyFill="1" applyBorder="1" applyAlignment="1">
      <alignment horizontal="right"/>
    </xf>
    <xf numFmtId="4" fontId="32" fillId="6" borderId="16" xfId="0" applyNumberFormat="1" applyFont="1" applyFill="1" applyBorder="1" applyAlignment="1">
      <alignment horizontal="right"/>
    </xf>
    <xf numFmtId="4" fontId="33" fillId="6" borderId="16" xfId="0" applyNumberFormat="1" applyFont="1" applyFill="1" applyBorder="1" applyAlignment="1">
      <alignment horizontal="right"/>
    </xf>
    <xf numFmtId="4" fontId="31" fillId="15" borderId="16" xfId="0" applyNumberFormat="1" applyFont="1" applyFill="1" applyBorder="1" applyAlignment="1">
      <alignment horizontal="right"/>
    </xf>
    <xf numFmtId="4" fontId="37" fillId="15" borderId="16" xfId="0" applyNumberFormat="1" applyFont="1" applyFill="1" applyBorder="1" applyAlignment="1">
      <alignment horizontal="right"/>
    </xf>
    <xf numFmtId="4" fontId="36" fillId="4" borderId="17" xfId="0" applyNumberFormat="1" applyFont="1" applyFill="1" applyBorder="1" applyAlignment="1">
      <alignment horizontal="right"/>
    </xf>
    <xf numFmtId="4" fontId="31" fillId="3" borderId="28" xfId="0" applyNumberFormat="1" applyFont="1" applyFill="1" applyBorder="1" applyAlignment="1">
      <alignment horizontal="right"/>
    </xf>
    <xf numFmtId="4" fontId="37" fillId="3" borderId="29" xfId="0" applyNumberFormat="1" applyFont="1" applyFill="1" applyBorder="1" applyAlignment="1">
      <alignment horizontal="right"/>
    </xf>
    <xf numFmtId="4" fontId="41" fillId="3" borderId="29" xfId="0" applyNumberFormat="1" applyFont="1" applyFill="1" applyBorder="1" applyAlignment="1">
      <alignment/>
    </xf>
    <xf numFmtId="3" fontId="1" fillId="26" borderId="16" xfId="584" applyNumberFormat="1" applyFont="1" applyFill="1" applyBorder="1">
      <alignment/>
      <protection/>
    </xf>
    <xf numFmtId="4" fontId="1" fillId="26" borderId="16" xfId="584" applyNumberFormat="1" applyFont="1" applyFill="1" applyBorder="1" applyAlignment="1">
      <alignment horizontal="center"/>
      <protection/>
    </xf>
    <xf numFmtId="3" fontId="30" fillId="0" borderId="15" xfId="0" applyNumberFormat="1" applyFont="1" applyFill="1" applyBorder="1" applyAlignment="1">
      <alignment/>
    </xf>
    <xf numFmtId="0" fontId="30" fillId="0" borderId="113" xfId="0" applyFont="1" applyBorder="1" applyAlignment="1">
      <alignment/>
    </xf>
    <xf numFmtId="0" fontId="30" fillId="0" borderId="92" xfId="0" applyFont="1" applyBorder="1" applyAlignment="1">
      <alignment/>
    </xf>
    <xf numFmtId="0" fontId="30" fillId="0" borderId="114" xfId="0" applyFont="1" applyBorder="1" applyAlignment="1">
      <alignment/>
    </xf>
    <xf numFmtId="3" fontId="30" fillId="0" borderId="25" xfId="0" applyNumberFormat="1" applyFont="1" applyFill="1" applyBorder="1" applyAlignment="1">
      <alignment horizontal="left"/>
    </xf>
    <xf numFmtId="4" fontId="30" fillId="0" borderId="25" xfId="0" applyNumberFormat="1" applyFont="1" applyBorder="1" applyAlignment="1">
      <alignment horizontal="center"/>
    </xf>
    <xf numFmtId="0" fontId="30" fillId="0" borderId="113" xfId="0" applyFont="1" applyFill="1" applyBorder="1" applyAlignment="1">
      <alignment/>
    </xf>
    <xf numFmtId="0" fontId="30" fillId="0" borderId="92" xfId="0" applyFont="1" applyFill="1" applyBorder="1" applyAlignment="1">
      <alignment/>
    </xf>
    <xf numFmtId="3" fontId="30" fillId="0" borderId="115" xfId="0" applyNumberFormat="1" applyFont="1" applyFill="1" applyBorder="1" applyAlignment="1">
      <alignment horizontal="left"/>
    </xf>
    <xf numFmtId="3" fontId="30" fillId="0" borderId="115" xfId="0" applyNumberFormat="1" applyFont="1" applyBorder="1" applyAlignment="1">
      <alignment horizontal="left"/>
    </xf>
    <xf numFmtId="4" fontId="30" fillId="0" borderId="115" xfId="0" applyNumberFormat="1" applyFont="1" applyBorder="1" applyAlignment="1">
      <alignment horizontal="center"/>
    </xf>
    <xf numFmtId="0" fontId="0" fillId="0" borderId="115" xfId="0" applyFont="1" applyBorder="1" applyAlignment="1">
      <alignment/>
    </xf>
    <xf numFmtId="0" fontId="30" fillId="0" borderId="115" xfId="0" applyFont="1" applyBorder="1" applyAlignment="1">
      <alignment/>
    </xf>
    <xf numFmtId="0" fontId="30" fillId="0" borderId="116" xfId="0" applyFont="1" applyBorder="1" applyAlignment="1">
      <alignment horizontal="left"/>
    </xf>
    <xf numFmtId="3" fontId="30" fillId="0" borderId="115" xfId="0" applyNumberFormat="1" applyFont="1" applyBorder="1" applyAlignment="1">
      <alignment/>
    </xf>
    <xf numFmtId="4" fontId="30" fillId="0" borderId="115" xfId="0" applyNumberFormat="1" applyFont="1" applyBorder="1" applyAlignment="1">
      <alignment horizontal="left"/>
    </xf>
    <xf numFmtId="4" fontId="30" fillId="0" borderId="117" xfId="0" applyNumberFormat="1" applyFont="1" applyBorder="1" applyAlignment="1">
      <alignment/>
    </xf>
    <xf numFmtId="0" fontId="0" fillId="0" borderId="118" xfId="0" applyFont="1" applyBorder="1" applyAlignment="1">
      <alignment/>
    </xf>
    <xf numFmtId="3" fontId="30" fillId="4" borderId="15" xfId="0" applyNumberFormat="1" applyFont="1" applyFill="1" applyBorder="1" applyAlignment="1">
      <alignment horizontal="right"/>
    </xf>
    <xf numFmtId="3" fontId="30" fillId="0" borderId="119" xfId="0" applyNumberFormat="1" applyFont="1" applyBorder="1" applyAlignment="1">
      <alignment/>
    </xf>
    <xf numFmtId="3" fontId="30" fillId="0" borderId="120" xfId="0" applyNumberFormat="1" applyFont="1" applyBorder="1" applyAlignment="1">
      <alignment/>
    </xf>
    <xf numFmtId="3" fontId="30" fillId="0" borderId="121" xfId="0" applyNumberFormat="1" applyFont="1" applyBorder="1" applyAlignment="1">
      <alignment/>
    </xf>
    <xf numFmtId="3" fontId="30" fillId="0" borderId="122" xfId="0" applyNumberFormat="1" applyFont="1" applyBorder="1" applyAlignment="1">
      <alignment/>
    </xf>
    <xf numFmtId="3" fontId="30" fillId="4" borderId="123" xfId="0" applyNumberFormat="1" applyFont="1" applyFill="1" applyBorder="1" applyAlignment="1">
      <alignment/>
    </xf>
    <xf numFmtId="2" fontId="52" fillId="7" borderId="31" xfId="584" applyNumberFormat="1" applyFont="1" applyFill="1" applyBorder="1" applyAlignment="1">
      <alignment horizontal="center"/>
      <protection/>
    </xf>
    <xf numFmtId="2" fontId="52" fillId="10" borderId="40" xfId="584" applyNumberFormat="1" applyFont="1" applyFill="1" applyBorder="1" applyAlignment="1">
      <alignment horizontal="center"/>
      <protection/>
    </xf>
    <xf numFmtId="2" fontId="50" fillId="7" borderId="31" xfId="584" applyNumberFormat="1" applyFont="1" applyFill="1" applyBorder="1" applyAlignment="1">
      <alignment horizontal="center"/>
      <protection/>
    </xf>
    <xf numFmtId="2" fontId="50" fillId="15" borderId="54" xfId="584" applyNumberFormat="1" applyFont="1" applyFill="1" applyBorder="1" applyAlignment="1">
      <alignment horizontal="center"/>
      <protection/>
    </xf>
    <xf numFmtId="2" fontId="44" fillId="0" borderId="54" xfId="584" applyNumberFormat="1" applyFont="1" applyFill="1" applyBorder="1" applyAlignment="1">
      <alignment horizontal="center"/>
      <protection/>
    </xf>
    <xf numFmtId="2" fontId="52" fillId="10" borderId="31" xfId="584" applyNumberFormat="1" applyFont="1" applyFill="1" applyBorder="1" applyAlignment="1">
      <alignment horizontal="center"/>
      <protection/>
    </xf>
    <xf numFmtId="2" fontId="44" fillId="7" borderId="31" xfId="584" applyNumberFormat="1" applyFont="1" applyFill="1" applyBorder="1" applyAlignment="1">
      <alignment horizontal="center"/>
      <protection/>
    </xf>
    <xf numFmtId="2" fontId="44" fillId="15" borderId="54" xfId="584" applyNumberFormat="1" applyFont="1" applyFill="1" applyBorder="1" applyAlignment="1">
      <alignment horizontal="center"/>
      <protection/>
    </xf>
    <xf numFmtId="2" fontId="61" fillId="0" borderId="54" xfId="584" applyNumberFormat="1" applyFont="1" applyFill="1" applyBorder="1" applyAlignment="1">
      <alignment horizontal="center"/>
      <protection/>
    </xf>
    <xf numFmtId="2" fontId="44" fillId="0" borderId="55" xfId="584" applyNumberFormat="1" applyFont="1" applyBorder="1" applyAlignment="1">
      <alignment horizontal="center"/>
      <protection/>
    </xf>
    <xf numFmtId="0" fontId="0" fillId="10" borderId="124" xfId="584" applyFont="1" applyFill="1" applyBorder="1" applyAlignment="1">
      <alignment horizontal="center" vertical="center"/>
      <protection/>
    </xf>
    <xf numFmtId="0" fontId="92" fillId="0" borderId="0" xfId="0" applyFont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4" borderId="0" xfId="0" applyNumberFormat="1" applyFont="1" applyFill="1" applyBorder="1" applyAlignment="1">
      <alignment horizontal="center"/>
    </xf>
    <xf numFmtId="0" fontId="27" fillId="4" borderId="16" xfId="0" applyFont="1" applyFill="1" applyBorder="1" applyAlignment="1">
      <alignment horizontal="left"/>
    </xf>
    <xf numFmtId="0" fontId="27" fillId="4" borderId="13" xfId="0" applyFont="1" applyFill="1" applyBorder="1" applyAlignment="1">
      <alignment horizontal="left"/>
    </xf>
    <xf numFmtId="3" fontId="25" fillId="4" borderId="0" xfId="0" applyNumberFormat="1" applyFont="1" applyFill="1" applyBorder="1" applyAlignment="1">
      <alignment horizontal="center"/>
    </xf>
    <xf numFmtId="0" fontId="27" fillId="4" borderId="22" xfId="0" applyFont="1" applyFill="1" applyBorder="1" applyAlignment="1">
      <alignment horizontal="left"/>
    </xf>
    <xf numFmtId="0" fontId="24" fillId="4" borderId="0" xfId="0" applyFont="1" applyFill="1" applyBorder="1" applyAlignment="1">
      <alignment horizontal="center"/>
    </xf>
    <xf numFmtId="0" fontId="30" fillId="0" borderId="16" xfId="0" applyFont="1" applyBorder="1" applyAlignment="1">
      <alignment horizontal="left"/>
    </xf>
    <xf numFmtId="0" fontId="1" fillId="9" borderId="125" xfId="584" applyFont="1" applyFill="1" applyBorder="1" applyAlignment="1">
      <alignment horizontal="center" vertical="center"/>
      <protection/>
    </xf>
    <xf numFmtId="0" fontId="1" fillId="9" borderId="126" xfId="584" applyFont="1" applyFill="1" applyBorder="1" applyAlignment="1">
      <alignment horizontal="center" vertical="center"/>
      <protection/>
    </xf>
    <xf numFmtId="0" fontId="1" fillId="9" borderId="127" xfId="584" applyFont="1" applyFill="1" applyBorder="1" applyAlignment="1">
      <alignment horizontal="center" vertical="center"/>
      <protection/>
    </xf>
    <xf numFmtId="0" fontId="1" fillId="9" borderId="28" xfId="584" applyFont="1" applyFill="1" applyBorder="1" applyAlignment="1">
      <alignment horizontal="center" vertical="center"/>
      <protection/>
    </xf>
    <xf numFmtId="0" fontId="1" fillId="9" borderId="128" xfId="584" applyFont="1" applyFill="1" applyBorder="1" applyAlignment="1">
      <alignment horizontal="center" vertical="center"/>
      <protection/>
    </xf>
    <xf numFmtId="0" fontId="44" fillId="9" borderId="129" xfId="584" applyFont="1" applyFill="1" applyBorder="1" applyAlignment="1">
      <alignment horizontal="center" vertical="center"/>
      <protection/>
    </xf>
    <xf numFmtId="0" fontId="44" fillId="9" borderId="128" xfId="584" applyFont="1" applyFill="1" applyBorder="1" applyAlignment="1">
      <alignment horizontal="center" vertical="center"/>
      <protection/>
    </xf>
    <xf numFmtId="49" fontId="53" fillId="10" borderId="19" xfId="584" applyNumberFormat="1" applyFont="1" applyFill="1" applyBorder="1" applyAlignment="1">
      <alignment horizontal="left"/>
      <protection/>
    </xf>
    <xf numFmtId="0" fontId="50" fillId="7" borderId="0" xfId="584" applyFont="1" applyFill="1" applyBorder="1" applyAlignment="1">
      <alignment horizontal="left"/>
      <protection/>
    </xf>
    <xf numFmtId="0" fontId="52" fillId="15" borderId="13" xfId="584" applyFont="1" applyFill="1" applyBorder="1" applyAlignment="1">
      <alignment horizontal="left"/>
      <protection/>
    </xf>
    <xf numFmtId="49" fontId="50" fillId="7" borderId="0" xfId="584" applyNumberFormat="1" applyFont="1" applyFill="1" applyBorder="1" applyAlignment="1">
      <alignment horizontal="left"/>
      <protection/>
    </xf>
    <xf numFmtId="49" fontId="50" fillId="15" borderId="13" xfId="584" applyNumberFormat="1" applyFont="1" applyFill="1" applyBorder="1" applyAlignment="1">
      <alignment horizontal="left"/>
      <protection/>
    </xf>
    <xf numFmtId="49" fontId="55" fillId="3" borderId="0" xfId="584" applyNumberFormat="1" applyFont="1" applyFill="1" applyBorder="1" applyAlignment="1">
      <alignment horizontal="left"/>
      <protection/>
    </xf>
    <xf numFmtId="0" fontId="25" fillId="0" borderId="0" xfId="584" applyFont="1" applyFill="1" applyBorder="1" applyAlignment="1">
      <alignment horizontal="center"/>
      <protection/>
    </xf>
    <xf numFmtId="0" fontId="0" fillId="10" borderId="130" xfId="584" applyFont="1" applyFill="1" applyBorder="1" applyAlignment="1">
      <alignment horizontal="center" vertical="center"/>
      <protection/>
    </xf>
    <xf numFmtId="0" fontId="0" fillId="10" borderId="131" xfId="584" applyFont="1" applyFill="1" applyBorder="1" applyAlignment="1">
      <alignment horizontal="center" vertical="center"/>
      <protection/>
    </xf>
    <xf numFmtId="0" fontId="55" fillId="7" borderId="26" xfId="584" applyFont="1" applyFill="1" applyBorder="1" applyAlignment="1">
      <alignment horizontal="left"/>
      <protection/>
    </xf>
    <xf numFmtId="0" fontId="0" fillId="10" borderId="26" xfId="584" applyFont="1" applyFill="1" applyBorder="1" applyAlignment="1">
      <alignment horizontal="center" vertical="center"/>
      <protection/>
    </xf>
    <xf numFmtId="0" fontId="0" fillId="10" borderId="88" xfId="584" applyFont="1" applyFill="1" applyBorder="1" applyAlignment="1">
      <alignment horizontal="center" vertical="center"/>
      <protection/>
    </xf>
    <xf numFmtId="0" fontId="0" fillId="10" borderId="132" xfId="584" applyFont="1" applyFill="1" applyBorder="1" applyAlignment="1">
      <alignment horizontal="center" vertical="center"/>
      <protection/>
    </xf>
    <xf numFmtId="0" fontId="1" fillId="0" borderId="133" xfId="584" applyFont="1" applyFill="1" applyBorder="1" applyAlignment="1">
      <alignment horizontal="left"/>
      <protection/>
    </xf>
    <xf numFmtId="0" fontId="1" fillId="0" borderId="134" xfId="584" applyFont="1" applyFill="1" applyBorder="1" applyAlignment="1">
      <alignment horizontal="left"/>
      <protection/>
    </xf>
    <xf numFmtId="0" fontId="1" fillId="0" borderId="135" xfId="584" applyFont="1" applyFill="1" applyBorder="1" applyAlignment="1">
      <alignment horizontal="left"/>
      <protection/>
    </xf>
    <xf numFmtId="0" fontId="1" fillId="0" borderId="17" xfId="584" applyFont="1" applyFill="1" applyBorder="1" applyAlignment="1">
      <alignment horizontal="left"/>
      <protection/>
    </xf>
    <xf numFmtId="0" fontId="1" fillId="0" borderId="16" xfId="584" applyFont="1" applyFill="1" applyBorder="1" applyAlignment="1">
      <alignment horizontal="left"/>
      <protection/>
    </xf>
    <xf numFmtId="0" fontId="1" fillId="0" borderId="25" xfId="584" applyFont="1" applyFill="1" applyBorder="1" applyAlignment="1">
      <alignment horizontal="left"/>
      <protection/>
    </xf>
    <xf numFmtId="0" fontId="1" fillId="0" borderId="0" xfId="584" applyFont="1" applyFill="1" applyBorder="1" applyAlignment="1">
      <alignment horizontal="left"/>
      <protection/>
    </xf>
    <xf numFmtId="0" fontId="1" fillId="0" borderId="0" xfId="584" applyFont="1" applyFill="1" applyBorder="1" applyAlignment="1">
      <alignment horizontal="center"/>
      <protection/>
    </xf>
    <xf numFmtId="0" fontId="1" fillId="26" borderId="16" xfId="584" applyFont="1" applyFill="1" applyBorder="1" applyAlignment="1">
      <alignment horizontal="left"/>
      <protection/>
    </xf>
    <xf numFmtId="0" fontId="1" fillId="0" borderId="0" xfId="584" applyFill="1" applyBorder="1" applyAlignment="1">
      <alignment horizontal="left"/>
      <protection/>
    </xf>
    <xf numFmtId="166" fontId="45" fillId="6" borderId="0" xfId="562" applyFont="1" applyFill="1" applyBorder="1" applyAlignment="1" applyProtection="1">
      <alignment horizontal="center"/>
      <protection/>
    </xf>
    <xf numFmtId="3" fontId="24" fillId="4" borderId="0" xfId="0" applyNumberFormat="1" applyFont="1" applyFill="1" applyBorder="1" applyAlignment="1">
      <alignment horizontal="center"/>
    </xf>
    <xf numFmtId="0" fontId="28" fillId="4" borderId="16" xfId="0" applyFont="1" applyFill="1" applyBorder="1" applyAlignment="1">
      <alignment horizontal="left"/>
    </xf>
    <xf numFmtId="0" fontId="24" fillId="8" borderId="0" xfId="0" applyFont="1" applyFill="1" applyBorder="1" applyAlignment="1">
      <alignment horizontal="center"/>
    </xf>
  </cellXfs>
  <cellStyles count="66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1 1" xfId="22"/>
    <cellStyle name="20% - Accent1 10" xfId="23"/>
    <cellStyle name="20% - Accent1 11" xfId="24"/>
    <cellStyle name="20% - Accent1 12" xfId="25"/>
    <cellStyle name="20% - Accent1 13" xfId="26"/>
    <cellStyle name="20% - Accent1 14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2" xfId="43"/>
    <cellStyle name="20% - Accent2 3" xfId="44"/>
    <cellStyle name="20% - Accent2 4" xfId="45"/>
    <cellStyle name="20% - Accent2 5" xfId="46"/>
    <cellStyle name="20% - Accent2 6" xfId="47"/>
    <cellStyle name="20% - Accent2 7" xfId="48"/>
    <cellStyle name="20% - Accent2 8" xfId="49"/>
    <cellStyle name="20% - Accent2 9" xfId="50"/>
    <cellStyle name="20% - Accent3" xfId="51"/>
    <cellStyle name="20% - Accent3 1" xfId="52"/>
    <cellStyle name="20% - Accent3 10" xfId="53"/>
    <cellStyle name="20% - Accent3 11" xfId="54"/>
    <cellStyle name="20% - Accent3 12" xfId="55"/>
    <cellStyle name="20% - Accent3 13" xfId="56"/>
    <cellStyle name="20% - Accent3 14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" xfId="67"/>
    <cellStyle name="20% - Accent4 10" xfId="68"/>
    <cellStyle name="20% - Accent4 11" xfId="69"/>
    <cellStyle name="20% - Accent4 12" xfId="70"/>
    <cellStyle name="20% - Accent4 13" xfId="71"/>
    <cellStyle name="20% - Accent4 14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4 7" xfId="78"/>
    <cellStyle name="20% - Accent4 8" xfId="79"/>
    <cellStyle name="20% - Accent4 9" xfId="80"/>
    <cellStyle name="20% - Accent5" xfId="81"/>
    <cellStyle name="20% - Accent5 1" xfId="82"/>
    <cellStyle name="20% - Accent5 10" xfId="83"/>
    <cellStyle name="20% - Accent5 11" xfId="84"/>
    <cellStyle name="20% - Accent5 12" xfId="85"/>
    <cellStyle name="20% - Accent5 13" xfId="86"/>
    <cellStyle name="20% - Accent5 14" xfId="87"/>
    <cellStyle name="20% - Accent5 2" xfId="88"/>
    <cellStyle name="20% - Accent5 3" xfId="89"/>
    <cellStyle name="20% - Accent5 4" xfId="90"/>
    <cellStyle name="20% - Accent5 5" xfId="91"/>
    <cellStyle name="20% - Accent5 6" xfId="92"/>
    <cellStyle name="20% - Accent5 7" xfId="93"/>
    <cellStyle name="20% - Accent5 8" xfId="94"/>
    <cellStyle name="20% - Accent5 9" xfId="95"/>
    <cellStyle name="20% - Accent6" xfId="96"/>
    <cellStyle name="20% - Accent6 1" xfId="97"/>
    <cellStyle name="20% - Accent6 10" xfId="98"/>
    <cellStyle name="20% - Accent6 11" xfId="99"/>
    <cellStyle name="20% - Accent6 12" xfId="100"/>
    <cellStyle name="20% - Accent6 13" xfId="101"/>
    <cellStyle name="20% - Accent6 14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 % - zvýraznenie1" xfId="111"/>
    <cellStyle name="40 % - zvýraznenie2" xfId="112"/>
    <cellStyle name="40 % - zvýraznenie3" xfId="113"/>
    <cellStyle name="40 % - zvýraznenie4" xfId="114"/>
    <cellStyle name="40 % - zvýraznenie5" xfId="115"/>
    <cellStyle name="40 % - zvýraznenie6" xfId="116"/>
    <cellStyle name="40% - Accent1" xfId="117"/>
    <cellStyle name="40% - Accent1 1" xfId="118"/>
    <cellStyle name="40% - Accent1 10" xfId="119"/>
    <cellStyle name="40% - Accent1 11" xfId="120"/>
    <cellStyle name="40% - Accent1 12" xfId="121"/>
    <cellStyle name="40% - Accent1 13" xfId="122"/>
    <cellStyle name="40% - Accent1 14" xfId="123"/>
    <cellStyle name="40% - Accent1 2" xfId="124"/>
    <cellStyle name="40% - Accent1 3" xfId="125"/>
    <cellStyle name="40% - Accent1 4" xfId="126"/>
    <cellStyle name="40% - Accent1 5" xfId="127"/>
    <cellStyle name="40% - Accent1 6" xfId="128"/>
    <cellStyle name="40% - Accent1 7" xfId="129"/>
    <cellStyle name="40% - Accent1 8" xfId="130"/>
    <cellStyle name="40% - Accent1 9" xfId="131"/>
    <cellStyle name="40% - Accent2" xfId="132"/>
    <cellStyle name="40% - Accent2 1" xfId="133"/>
    <cellStyle name="40% - Accent2 10" xfId="134"/>
    <cellStyle name="40% - Accent2 11" xfId="135"/>
    <cellStyle name="40% - Accent2 12" xfId="136"/>
    <cellStyle name="40% - Accent2 13" xfId="137"/>
    <cellStyle name="40% - Accent2 14" xfId="138"/>
    <cellStyle name="40% - Accent2 2" xfId="139"/>
    <cellStyle name="40% - Accent2 3" xfId="140"/>
    <cellStyle name="40% - Accent2 4" xfId="141"/>
    <cellStyle name="40% - Accent2 5" xfId="142"/>
    <cellStyle name="40% - Accent2 6" xfId="143"/>
    <cellStyle name="40% - Accent2 7" xfId="144"/>
    <cellStyle name="40% - Accent2 8" xfId="145"/>
    <cellStyle name="40% - Accent2 9" xfId="146"/>
    <cellStyle name="40% - Accent3" xfId="147"/>
    <cellStyle name="40% - Accent3 1" xfId="148"/>
    <cellStyle name="40% - Accent3 10" xfId="149"/>
    <cellStyle name="40% - Accent3 11" xfId="150"/>
    <cellStyle name="40% - Accent3 12" xfId="151"/>
    <cellStyle name="40% - Accent3 13" xfId="152"/>
    <cellStyle name="40% - Accent3 14" xfId="153"/>
    <cellStyle name="40% - Accent3 2" xfId="154"/>
    <cellStyle name="40% - Accent3 3" xfId="155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" xfId="162"/>
    <cellStyle name="40% - Accent4 1" xfId="163"/>
    <cellStyle name="40% - Accent4 10" xfId="164"/>
    <cellStyle name="40% - Accent4 11" xfId="165"/>
    <cellStyle name="40% - Accent4 12" xfId="166"/>
    <cellStyle name="40% - Accent4 13" xfId="167"/>
    <cellStyle name="40% - Accent4 14" xfId="168"/>
    <cellStyle name="40% - Accent4 2" xfId="169"/>
    <cellStyle name="40% - Accent4 3" xfId="170"/>
    <cellStyle name="40% - Accent4 4" xfId="171"/>
    <cellStyle name="40% - Accent4 5" xfId="172"/>
    <cellStyle name="40% - Accent4 6" xfId="173"/>
    <cellStyle name="40% - Accent4 7" xfId="174"/>
    <cellStyle name="40% - Accent4 8" xfId="175"/>
    <cellStyle name="40% - Accent4 9" xfId="176"/>
    <cellStyle name="40% - Accent5" xfId="177"/>
    <cellStyle name="40% - Accent5 1" xfId="178"/>
    <cellStyle name="40% - Accent5 10" xfId="179"/>
    <cellStyle name="40% - Accent5 11" xfId="180"/>
    <cellStyle name="40% - Accent5 12" xfId="181"/>
    <cellStyle name="40% - Accent5 13" xfId="182"/>
    <cellStyle name="40% - Accent5 14" xfId="183"/>
    <cellStyle name="40% - Accent5 2" xfId="184"/>
    <cellStyle name="40% - Accent5 3" xfId="185"/>
    <cellStyle name="40% - Accent5 4" xfId="186"/>
    <cellStyle name="40% - Accent5 5" xfId="187"/>
    <cellStyle name="40% - Accent5 6" xfId="188"/>
    <cellStyle name="40% - Accent5 7" xfId="189"/>
    <cellStyle name="40% - Accent5 8" xfId="190"/>
    <cellStyle name="40% - Accent5 9" xfId="191"/>
    <cellStyle name="40% - Accent6" xfId="192"/>
    <cellStyle name="40% - Accent6 1" xfId="193"/>
    <cellStyle name="40% - Accent6 10" xfId="194"/>
    <cellStyle name="40% - Accent6 11" xfId="195"/>
    <cellStyle name="40% - Accent6 12" xfId="196"/>
    <cellStyle name="40% - Accent6 13" xfId="197"/>
    <cellStyle name="40% - Accent6 14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 % - zvýraznenie1" xfId="207"/>
    <cellStyle name="60 % - zvýraznenie2" xfId="208"/>
    <cellStyle name="60 % - zvýraznenie3" xfId="209"/>
    <cellStyle name="60 % - zvýraznenie4" xfId="210"/>
    <cellStyle name="60 % - zvýraznenie5" xfId="211"/>
    <cellStyle name="60 % - zvýraznenie6" xfId="212"/>
    <cellStyle name="60% - Accent1" xfId="213"/>
    <cellStyle name="60% - Accent1 1" xfId="214"/>
    <cellStyle name="60% - Accent1 10" xfId="215"/>
    <cellStyle name="60% - Accent1 11" xfId="216"/>
    <cellStyle name="60% - Accent1 12" xfId="217"/>
    <cellStyle name="60% - Accent1 13" xfId="218"/>
    <cellStyle name="60% - Accent1 14" xfId="219"/>
    <cellStyle name="60% - Accent1 2" xfId="220"/>
    <cellStyle name="60% - Accent1 3" xfId="221"/>
    <cellStyle name="60% - Accent1 4" xfId="222"/>
    <cellStyle name="60% - Accent1 5" xfId="223"/>
    <cellStyle name="60% - Accent1 6" xfId="224"/>
    <cellStyle name="60% - Accent1 7" xfId="225"/>
    <cellStyle name="60% - Accent1 8" xfId="226"/>
    <cellStyle name="60% - Accent1 9" xfId="227"/>
    <cellStyle name="60% - Accent2" xfId="228"/>
    <cellStyle name="60% - Accent2 1" xfId="229"/>
    <cellStyle name="60% - Accent2 10" xfId="230"/>
    <cellStyle name="60% - Accent2 11" xfId="231"/>
    <cellStyle name="60% - Accent2 12" xfId="232"/>
    <cellStyle name="60% - Accent2 13" xfId="233"/>
    <cellStyle name="60% - Accent2 14" xfId="234"/>
    <cellStyle name="60% - Accent2 2" xfId="235"/>
    <cellStyle name="60% - Accent2 3" xfId="236"/>
    <cellStyle name="60% - Accent2 4" xfId="237"/>
    <cellStyle name="60% - Accent2 5" xfId="238"/>
    <cellStyle name="60% - Accent2 6" xfId="239"/>
    <cellStyle name="60% - Accent2 7" xfId="240"/>
    <cellStyle name="60% - Accent2 8" xfId="241"/>
    <cellStyle name="60% - Accent2 9" xfId="242"/>
    <cellStyle name="60% - Accent3" xfId="243"/>
    <cellStyle name="60% - Accent3 1" xfId="244"/>
    <cellStyle name="60% - Accent3 10" xfId="245"/>
    <cellStyle name="60% - Accent3 11" xfId="246"/>
    <cellStyle name="60% - Accent3 12" xfId="247"/>
    <cellStyle name="60% - Accent3 13" xfId="248"/>
    <cellStyle name="60% - Accent3 14" xfId="249"/>
    <cellStyle name="60% - Accent3 2" xfId="250"/>
    <cellStyle name="60% - Accent3 3" xfId="251"/>
    <cellStyle name="60% - Accent3 4" xfId="252"/>
    <cellStyle name="60% - Accent3 5" xfId="253"/>
    <cellStyle name="60% - Accent3 6" xfId="254"/>
    <cellStyle name="60% - Accent3 7" xfId="255"/>
    <cellStyle name="60% - Accent3 8" xfId="256"/>
    <cellStyle name="60% - Accent3 9" xfId="257"/>
    <cellStyle name="60% - Accent4" xfId="258"/>
    <cellStyle name="60% - Accent4 1" xfId="259"/>
    <cellStyle name="60% - Accent4 10" xfId="260"/>
    <cellStyle name="60% - Accent4 11" xfId="261"/>
    <cellStyle name="60% - Accent4 12" xfId="262"/>
    <cellStyle name="60% - Accent4 13" xfId="263"/>
    <cellStyle name="60% - Accent4 14" xfId="264"/>
    <cellStyle name="60% - Accent4 2" xfId="265"/>
    <cellStyle name="60% - Accent4 3" xfId="266"/>
    <cellStyle name="60% - Accent4 4" xfId="267"/>
    <cellStyle name="60% - Accent4 5" xfId="268"/>
    <cellStyle name="60% - Accent4 6" xfId="269"/>
    <cellStyle name="60% - Accent4 7" xfId="270"/>
    <cellStyle name="60% - Accent4 8" xfId="271"/>
    <cellStyle name="60% - Accent4 9" xfId="272"/>
    <cellStyle name="60% - Accent5" xfId="273"/>
    <cellStyle name="60% - Accent5 1" xfId="274"/>
    <cellStyle name="60% - Accent5 10" xfId="275"/>
    <cellStyle name="60% - Accent5 11" xfId="276"/>
    <cellStyle name="60% - Accent5 12" xfId="277"/>
    <cellStyle name="60% - Accent5 13" xfId="278"/>
    <cellStyle name="60% - Accent5 14" xfId="279"/>
    <cellStyle name="60% - Accent5 2" xfId="280"/>
    <cellStyle name="60% - Accent5 3" xfId="281"/>
    <cellStyle name="60% - Accent5 4" xfId="282"/>
    <cellStyle name="60% - Accent5 5" xfId="283"/>
    <cellStyle name="60% - Accent5 6" xfId="284"/>
    <cellStyle name="60% - Accent5 7" xfId="285"/>
    <cellStyle name="60% - Accent5 8" xfId="286"/>
    <cellStyle name="60% - Accent5 9" xfId="287"/>
    <cellStyle name="60% - Accent6" xfId="288"/>
    <cellStyle name="60% - Accent6 1" xfId="289"/>
    <cellStyle name="60% - Accent6 10" xfId="290"/>
    <cellStyle name="60% - Accent6 11" xfId="291"/>
    <cellStyle name="60% - Accent6 12" xfId="292"/>
    <cellStyle name="60% - Accent6 13" xfId="293"/>
    <cellStyle name="60% - Accent6 14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" xfId="304"/>
    <cellStyle name="Accent1 10" xfId="305"/>
    <cellStyle name="Accent1 11" xfId="306"/>
    <cellStyle name="Accent1 12" xfId="307"/>
    <cellStyle name="Accent1 13" xfId="308"/>
    <cellStyle name="Accent1 14" xfId="309"/>
    <cellStyle name="Accent1 2" xfId="310"/>
    <cellStyle name="Accent1 3" xfId="311"/>
    <cellStyle name="Accent1 4" xfId="312"/>
    <cellStyle name="Accent1 5" xfId="313"/>
    <cellStyle name="Accent1 6" xfId="314"/>
    <cellStyle name="Accent1 7" xfId="315"/>
    <cellStyle name="Accent1 8" xfId="316"/>
    <cellStyle name="Accent1 9" xfId="317"/>
    <cellStyle name="Accent2" xfId="318"/>
    <cellStyle name="Accent2 1" xfId="319"/>
    <cellStyle name="Accent2 10" xfId="320"/>
    <cellStyle name="Accent2 11" xfId="321"/>
    <cellStyle name="Accent2 12" xfId="322"/>
    <cellStyle name="Accent2 13" xfId="323"/>
    <cellStyle name="Accent2 14" xfId="324"/>
    <cellStyle name="Accent2 2" xfId="325"/>
    <cellStyle name="Accent2 3" xfId="326"/>
    <cellStyle name="Accent2 4" xfId="327"/>
    <cellStyle name="Accent2 5" xfId="328"/>
    <cellStyle name="Accent2 6" xfId="329"/>
    <cellStyle name="Accent2 7" xfId="330"/>
    <cellStyle name="Accent2 8" xfId="331"/>
    <cellStyle name="Accent2 9" xfId="332"/>
    <cellStyle name="Accent3" xfId="333"/>
    <cellStyle name="Accent3 1" xfId="334"/>
    <cellStyle name="Accent3 10" xfId="335"/>
    <cellStyle name="Accent3 11" xfId="336"/>
    <cellStyle name="Accent3 12" xfId="337"/>
    <cellStyle name="Accent3 13" xfId="338"/>
    <cellStyle name="Accent3 14" xfId="339"/>
    <cellStyle name="Accent3 2" xfId="340"/>
    <cellStyle name="Accent3 3" xfId="341"/>
    <cellStyle name="Accent3 4" xfId="342"/>
    <cellStyle name="Accent3 5" xfId="343"/>
    <cellStyle name="Accent3 6" xfId="344"/>
    <cellStyle name="Accent3 7" xfId="345"/>
    <cellStyle name="Accent3 8" xfId="346"/>
    <cellStyle name="Accent3 9" xfId="347"/>
    <cellStyle name="Accent4" xfId="348"/>
    <cellStyle name="Accent4 1" xfId="349"/>
    <cellStyle name="Accent4 10" xfId="350"/>
    <cellStyle name="Accent4 11" xfId="351"/>
    <cellStyle name="Accent4 12" xfId="352"/>
    <cellStyle name="Accent4 13" xfId="353"/>
    <cellStyle name="Accent4 14" xfId="354"/>
    <cellStyle name="Accent4 2" xfId="355"/>
    <cellStyle name="Accent4 3" xfId="356"/>
    <cellStyle name="Accent4 4" xfId="357"/>
    <cellStyle name="Accent4 5" xfId="358"/>
    <cellStyle name="Accent4 6" xfId="359"/>
    <cellStyle name="Accent4 7" xfId="360"/>
    <cellStyle name="Accent4 8" xfId="361"/>
    <cellStyle name="Accent4 9" xfId="362"/>
    <cellStyle name="Accent5" xfId="363"/>
    <cellStyle name="Accent5 1" xfId="364"/>
    <cellStyle name="Accent5 10" xfId="365"/>
    <cellStyle name="Accent5 11" xfId="366"/>
    <cellStyle name="Accent5 12" xfId="367"/>
    <cellStyle name="Accent5 13" xfId="368"/>
    <cellStyle name="Accent5 14" xfId="369"/>
    <cellStyle name="Accent5 2" xfId="370"/>
    <cellStyle name="Accent5 3" xfId="371"/>
    <cellStyle name="Accent5 4" xfId="372"/>
    <cellStyle name="Accent5 5" xfId="373"/>
    <cellStyle name="Accent5 6" xfId="374"/>
    <cellStyle name="Accent5 7" xfId="375"/>
    <cellStyle name="Accent5 8" xfId="376"/>
    <cellStyle name="Accent5 9" xfId="377"/>
    <cellStyle name="Accent6" xfId="378"/>
    <cellStyle name="Accent6 1" xfId="379"/>
    <cellStyle name="Accent6 10" xfId="380"/>
    <cellStyle name="Accent6 11" xfId="381"/>
    <cellStyle name="Accent6 12" xfId="382"/>
    <cellStyle name="Accent6 13" xfId="383"/>
    <cellStyle name="Accent6 14" xfId="384"/>
    <cellStyle name="Accent6 2" xfId="385"/>
    <cellStyle name="Accent6 3" xfId="386"/>
    <cellStyle name="Accent6 4" xfId="387"/>
    <cellStyle name="Accent6 5" xfId="388"/>
    <cellStyle name="Accent6 6" xfId="389"/>
    <cellStyle name="Accent6 7" xfId="390"/>
    <cellStyle name="Accent6 8" xfId="391"/>
    <cellStyle name="Accent6 9" xfId="392"/>
    <cellStyle name="Bad" xfId="393"/>
    <cellStyle name="Bad 1" xfId="394"/>
    <cellStyle name="Bad 10" xfId="395"/>
    <cellStyle name="Bad 11" xfId="396"/>
    <cellStyle name="Bad 12" xfId="397"/>
    <cellStyle name="Bad 13" xfId="398"/>
    <cellStyle name="Bad 14" xfId="399"/>
    <cellStyle name="Bad 2" xfId="400"/>
    <cellStyle name="Bad 3" xfId="401"/>
    <cellStyle name="Bad 4" xfId="402"/>
    <cellStyle name="Bad 5" xfId="403"/>
    <cellStyle name="Bad 6" xfId="404"/>
    <cellStyle name="Bad 7" xfId="405"/>
    <cellStyle name="Bad 8" xfId="406"/>
    <cellStyle name="Bad 9" xfId="407"/>
    <cellStyle name="Calculation" xfId="408"/>
    <cellStyle name="Calculation 1" xfId="409"/>
    <cellStyle name="Calculation 10" xfId="410"/>
    <cellStyle name="Calculation 11" xfId="411"/>
    <cellStyle name="Calculation 12" xfId="412"/>
    <cellStyle name="Calculation 13" xfId="413"/>
    <cellStyle name="Calculation 14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omma" xfId="423"/>
    <cellStyle name="Comma [0]" xfId="424"/>
    <cellStyle name="Dobrá" xfId="425"/>
    <cellStyle name="Explanatory Text" xfId="426"/>
    <cellStyle name="Explanatory Text 1" xfId="427"/>
    <cellStyle name="Explanatory Text 10" xfId="428"/>
    <cellStyle name="Explanatory Text 11" xfId="429"/>
    <cellStyle name="Explanatory Text 12" xfId="430"/>
    <cellStyle name="Explanatory Text 13" xfId="431"/>
    <cellStyle name="Explanatory Text 14" xfId="432"/>
    <cellStyle name="Explanatory Text 2" xfId="433"/>
    <cellStyle name="Explanatory Text 3" xfId="434"/>
    <cellStyle name="Explanatory Text 4" xfId="435"/>
    <cellStyle name="Explanatory Text 5" xfId="436"/>
    <cellStyle name="Explanatory Text 6" xfId="437"/>
    <cellStyle name="Explanatory Text 7" xfId="438"/>
    <cellStyle name="Explanatory Text 8" xfId="439"/>
    <cellStyle name="Explanatory Text 9" xfId="440"/>
    <cellStyle name="Good" xfId="441"/>
    <cellStyle name="Good 1" xfId="442"/>
    <cellStyle name="Good 10" xfId="443"/>
    <cellStyle name="Good 11" xfId="444"/>
    <cellStyle name="Good 12" xfId="445"/>
    <cellStyle name="Good 13" xfId="446"/>
    <cellStyle name="Good 14" xfId="447"/>
    <cellStyle name="Good 2" xfId="448"/>
    <cellStyle name="Good 3" xfId="449"/>
    <cellStyle name="Good 4" xfId="450"/>
    <cellStyle name="Good 5" xfId="451"/>
    <cellStyle name="Good 6" xfId="452"/>
    <cellStyle name="Good 7" xfId="453"/>
    <cellStyle name="Good 8" xfId="454"/>
    <cellStyle name="Good 9" xfId="455"/>
    <cellStyle name="Heading 1" xfId="456"/>
    <cellStyle name="Heading 1 1" xfId="457"/>
    <cellStyle name="Heading 1 10" xfId="458"/>
    <cellStyle name="Heading 1 11" xfId="459"/>
    <cellStyle name="Heading 1 12" xfId="460"/>
    <cellStyle name="Heading 1 13" xfId="461"/>
    <cellStyle name="Heading 1 14" xfId="462"/>
    <cellStyle name="Heading 1 2" xfId="463"/>
    <cellStyle name="Heading 1 3" xfId="464"/>
    <cellStyle name="Heading 1 4" xfId="465"/>
    <cellStyle name="Heading 1 5" xfId="466"/>
    <cellStyle name="Heading 1 6" xfId="467"/>
    <cellStyle name="Heading 1 7" xfId="468"/>
    <cellStyle name="Heading 1 8" xfId="469"/>
    <cellStyle name="Heading 1 9" xfId="470"/>
    <cellStyle name="Heading 2" xfId="471"/>
    <cellStyle name="Heading 2 1" xfId="472"/>
    <cellStyle name="Heading 2 10" xfId="473"/>
    <cellStyle name="Heading 2 11" xfId="474"/>
    <cellStyle name="Heading 2 12" xfId="475"/>
    <cellStyle name="Heading 2 13" xfId="476"/>
    <cellStyle name="Heading 2 14" xfId="477"/>
    <cellStyle name="Heading 2 2" xfId="478"/>
    <cellStyle name="Heading 2 3" xfId="479"/>
    <cellStyle name="Heading 2 4" xfId="480"/>
    <cellStyle name="Heading 2 5" xfId="481"/>
    <cellStyle name="Heading 2 6" xfId="482"/>
    <cellStyle name="Heading 2 7" xfId="483"/>
    <cellStyle name="Heading 2 8" xfId="484"/>
    <cellStyle name="Heading 2 9" xfId="485"/>
    <cellStyle name="Heading 3" xfId="486"/>
    <cellStyle name="Heading 3 1" xfId="487"/>
    <cellStyle name="Heading 3 10" xfId="488"/>
    <cellStyle name="Heading 3 11" xfId="489"/>
    <cellStyle name="Heading 3 12" xfId="490"/>
    <cellStyle name="Heading 3 13" xfId="491"/>
    <cellStyle name="Heading 3 14" xfId="492"/>
    <cellStyle name="Heading 3 2" xfId="493"/>
    <cellStyle name="Heading 3 3" xfId="494"/>
    <cellStyle name="Heading 3 4" xfId="495"/>
    <cellStyle name="Heading 3 5" xfId="496"/>
    <cellStyle name="Heading 3 6" xfId="497"/>
    <cellStyle name="Heading 3 7" xfId="498"/>
    <cellStyle name="Heading 3 8" xfId="499"/>
    <cellStyle name="Heading 3 9" xfId="500"/>
    <cellStyle name="Heading 4" xfId="501"/>
    <cellStyle name="Heading 4 1" xfId="502"/>
    <cellStyle name="Heading 4 10" xfId="503"/>
    <cellStyle name="Heading 4 11" xfId="504"/>
    <cellStyle name="Heading 4 12" xfId="505"/>
    <cellStyle name="Heading 4 13" xfId="506"/>
    <cellStyle name="Heading 4 14" xfId="507"/>
    <cellStyle name="Heading 4 2" xfId="508"/>
    <cellStyle name="Heading 4 3" xfId="509"/>
    <cellStyle name="Heading 4 4" xfId="510"/>
    <cellStyle name="Heading 4 5" xfId="511"/>
    <cellStyle name="Heading 4 6" xfId="512"/>
    <cellStyle name="Heading 4 7" xfId="513"/>
    <cellStyle name="Heading 4 8" xfId="514"/>
    <cellStyle name="Heading 4 9" xfId="515"/>
    <cellStyle name="Check Cell" xfId="516"/>
    <cellStyle name="Check Cell 1" xfId="517"/>
    <cellStyle name="Check Cell 10" xfId="518"/>
    <cellStyle name="Check Cell 11" xfId="519"/>
    <cellStyle name="Check Cell 12" xfId="520"/>
    <cellStyle name="Check Cell 13" xfId="521"/>
    <cellStyle name="Check Cell 14" xfId="522"/>
    <cellStyle name="Check Cell 2" xfId="523"/>
    <cellStyle name="Check Cell 3" xfId="524"/>
    <cellStyle name="Check Cell 4" xfId="525"/>
    <cellStyle name="Check Cell 5" xfId="526"/>
    <cellStyle name="Check Cell 6" xfId="527"/>
    <cellStyle name="Check Cell 7" xfId="528"/>
    <cellStyle name="Check Cell 8" xfId="529"/>
    <cellStyle name="Check Cell 9" xfId="530"/>
    <cellStyle name="Input" xfId="531"/>
    <cellStyle name="Input 1" xfId="532"/>
    <cellStyle name="Input 10" xfId="533"/>
    <cellStyle name="Input 11" xfId="534"/>
    <cellStyle name="Input 12" xfId="535"/>
    <cellStyle name="Input 13" xfId="536"/>
    <cellStyle name="Input 14" xfId="537"/>
    <cellStyle name="Input 2" xfId="538"/>
    <cellStyle name="Input 3" xfId="539"/>
    <cellStyle name="Input 4" xfId="540"/>
    <cellStyle name="Input 5" xfId="541"/>
    <cellStyle name="Input 6" xfId="542"/>
    <cellStyle name="Input 7" xfId="543"/>
    <cellStyle name="Input 8" xfId="544"/>
    <cellStyle name="Input 9" xfId="545"/>
    <cellStyle name="Kontrolná bunka" xfId="546"/>
    <cellStyle name="Linked Cell" xfId="547"/>
    <cellStyle name="Linked Cell 1" xfId="548"/>
    <cellStyle name="Linked Cell 10" xfId="549"/>
    <cellStyle name="Linked Cell 11" xfId="550"/>
    <cellStyle name="Linked Cell 12" xfId="551"/>
    <cellStyle name="Linked Cell 13" xfId="552"/>
    <cellStyle name="Linked Cell 14" xfId="553"/>
    <cellStyle name="Linked Cell 2" xfId="554"/>
    <cellStyle name="Linked Cell 3" xfId="555"/>
    <cellStyle name="Linked Cell 4" xfId="556"/>
    <cellStyle name="Linked Cell 5" xfId="557"/>
    <cellStyle name="Linked Cell 6" xfId="558"/>
    <cellStyle name="Linked Cell 7" xfId="559"/>
    <cellStyle name="Linked Cell 8" xfId="560"/>
    <cellStyle name="Linked Cell 9" xfId="561"/>
    <cellStyle name="Currency" xfId="562"/>
    <cellStyle name="Currency [0]" xfId="563"/>
    <cellStyle name="Nadpis 1" xfId="564"/>
    <cellStyle name="Nadpis 2" xfId="565"/>
    <cellStyle name="Nadpis 3" xfId="566"/>
    <cellStyle name="Nadpis 4" xfId="567"/>
    <cellStyle name="Neutral" xfId="568"/>
    <cellStyle name="Neutral 1" xfId="569"/>
    <cellStyle name="Neutral 10" xfId="570"/>
    <cellStyle name="Neutral 11" xfId="571"/>
    <cellStyle name="Neutral 12" xfId="572"/>
    <cellStyle name="Neutral 13" xfId="573"/>
    <cellStyle name="Neutral 14" xfId="574"/>
    <cellStyle name="Neutral 2" xfId="575"/>
    <cellStyle name="Neutral 3" xfId="576"/>
    <cellStyle name="Neutral 4" xfId="577"/>
    <cellStyle name="Neutral 5" xfId="578"/>
    <cellStyle name="Neutral 6" xfId="579"/>
    <cellStyle name="Neutral 7" xfId="580"/>
    <cellStyle name="Neutral 8" xfId="581"/>
    <cellStyle name="Neutral 9" xfId="582"/>
    <cellStyle name="Neutrálna" xfId="583"/>
    <cellStyle name="normálne_3_tabuľková časť" xfId="584"/>
    <cellStyle name="Note" xfId="585"/>
    <cellStyle name="Note 1" xfId="586"/>
    <cellStyle name="Note 10" xfId="587"/>
    <cellStyle name="Note 11" xfId="588"/>
    <cellStyle name="Note 12" xfId="589"/>
    <cellStyle name="Note 13" xfId="590"/>
    <cellStyle name="Note 14" xfId="591"/>
    <cellStyle name="Note 2" xfId="592"/>
    <cellStyle name="Note 3" xfId="593"/>
    <cellStyle name="Note 4" xfId="594"/>
    <cellStyle name="Note 5" xfId="595"/>
    <cellStyle name="Note 6" xfId="596"/>
    <cellStyle name="Note 7" xfId="597"/>
    <cellStyle name="Note 8" xfId="598"/>
    <cellStyle name="Note 9" xfId="599"/>
    <cellStyle name="Note_3_tabuľková časť" xfId="600"/>
    <cellStyle name="Output" xfId="601"/>
    <cellStyle name="Output 1" xfId="602"/>
    <cellStyle name="Output 10" xfId="603"/>
    <cellStyle name="Output 11" xfId="604"/>
    <cellStyle name="Output 12" xfId="605"/>
    <cellStyle name="Output 13" xfId="606"/>
    <cellStyle name="Output 14" xfId="607"/>
    <cellStyle name="Output 2" xfId="608"/>
    <cellStyle name="Output 3" xfId="609"/>
    <cellStyle name="Output 4" xfId="610"/>
    <cellStyle name="Output 5" xfId="611"/>
    <cellStyle name="Output 6" xfId="612"/>
    <cellStyle name="Output 7" xfId="613"/>
    <cellStyle name="Output 8" xfId="614"/>
    <cellStyle name="Output 9" xfId="615"/>
    <cellStyle name="Percent" xfId="616"/>
    <cellStyle name="Poznámka" xfId="617"/>
    <cellStyle name="Prepojená bunka" xfId="618"/>
    <cellStyle name="Spolu" xfId="619"/>
    <cellStyle name="Text upozornenia" xfId="620"/>
    <cellStyle name="Title" xfId="621"/>
    <cellStyle name="Title 1" xfId="622"/>
    <cellStyle name="Title 10" xfId="623"/>
    <cellStyle name="Title 11" xfId="624"/>
    <cellStyle name="Title 12" xfId="625"/>
    <cellStyle name="Title 13" xfId="626"/>
    <cellStyle name="Title 14" xfId="627"/>
    <cellStyle name="Title 2" xfId="628"/>
    <cellStyle name="Title 3" xfId="629"/>
    <cellStyle name="Title 4" xfId="630"/>
    <cellStyle name="Title 5" xfId="631"/>
    <cellStyle name="Title 6" xfId="632"/>
    <cellStyle name="Title 7" xfId="633"/>
    <cellStyle name="Title 8" xfId="634"/>
    <cellStyle name="Title 9" xfId="635"/>
    <cellStyle name="Titul" xfId="636"/>
    <cellStyle name="Total" xfId="637"/>
    <cellStyle name="Total 1" xfId="638"/>
    <cellStyle name="Total 10" xfId="639"/>
    <cellStyle name="Total 11" xfId="640"/>
    <cellStyle name="Total 12" xfId="641"/>
    <cellStyle name="Total 13" xfId="642"/>
    <cellStyle name="Total 14" xfId="643"/>
    <cellStyle name="Total 2" xfId="644"/>
    <cellStyle name="Total 3" xfId="645"/>
    <cellStyle name="Total 4" xfId="646"/>
    <cellStyle name="Total 5" xfId="647"/>
    <cellStyle name="Total 6" xfId="648"/>
    <cellStyle name="Total 7" xfId="649"/>
    <cellStyle name="Total 8" xfId="650"/>
    <cellStyle name="Total 9" xfId="651"/>
    <cellStyle name="Vstup" xfId="652"/>
    <cellStyle name="Výpočet" xfId="653"/>
    <cellStyle name="Výstup" xfId="654"/>
    <cellStyle name="Vysvetľujúci text" xfId="655"/>
    <cellStyle name="Warning Text" xfId="656"/>
    <cellStyle name="Warning Text 1" xfId="657"/>
    <cellStyle name="Warning Text 10" xfId="658"/>
    <cellStyle name="Warning Text 11" xfId="659"/>
    <cellStyle name="Warning Text 12" xfId="660"/>
    <cellStyle name="Warning Text 13" xfId="661"/>
    <cellStyle name="Warning Text 14" xfId="662"/>
    <cellStyle name="Warning Text 2" xfId="663"/>
    <cellStyle name="Warning Text 3" xfId="664"/>
    <cellStyle name="Warning Text 4" xfId="665"/>
    <cellStyle name="Warning Text 5" xfId="666"/>
    <cellStyle name="Warning Text 6" xfId="667"/>
    <cellStyle name="Warning Text 7" xfId="668"/>
    <cellStyle name="Warning Text 8" xfId="669"/>
    <cellStyle name="Warning Text 9" xfId="670"/>
    <cellStyle name="Zlá" xfId="671"/>
    <cellStyle name="Zvýraznenie1" xfId="672"/>
    <cellStyle name="Zvýraznenie2" xfId="673"/>
    <cellStyle name="Zvýraznenie3" xfId="674"/>
    <cellStyle name="Zvýraznenie4" xfId="675"/>
    <cellStyle name="Zvýraznenie5" xfId="676"/>
    <cellStyle name="Zvýraznenie6" xfId="6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123825</xdr:rowOff>
    </xdr:from>
    <xdr:to>
      <xdr:col>5</xdr:col>
      <xdr:colOff>533400</xdr:colOff>
      <xdr:row>13</xdr:row>
      <xdr:rowOff>47625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095375"/>
          <a:ext cx="10668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ov&#253;%20rozpo&#269;et%202012_2014\3_tabu&#318;kov&#225;%20&#269;as&#3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1\Plnenie%20rozpo&#269;tu\Plnenie%20rozpoctu%20k%2031.12.2011_ak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davky"/>
    </sheetNames>
    <sheetDataSet>
      <sheetData sheetId="0">
        <row r="264">
          <cell r="H264">
            <v>0</v>
          </cell>
        </row>
        <row r="268">
          <cell r="H268">
            <v>0</v>
          </cell>
        </row>
        <row r="287">
          <cell r="H287">
            <v>0</v>
          </cell>
        </row>
        <row r="304">
          <cell r="H304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</row>
        <row r="415">
          <cell r="H415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íjmy"/>
    </sheetNames>
    <sheetDataSet>
      <sheetData sheetId="0"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L43"/>
  <sheetViews>
    <sheetView tabSelected="1" workbookViewId="0" topLeftCell="A4">
      <selection activeCell="A25" sqref="A25:J25"/>
    </sheetView>
  </sheetViews>
  <sheetFormatPr defaultColWidth="9.00390625" defaultRowHeight="12.75"/>
  <cols>
    <col min="1" max="16384" width="9.00390625" style="1" customWidth="1"/>
  </cols>
  <sheetData>
    <row r="21" spans="1:12" ht="19.5" customHeight="1">
      <c r="A21" s="1588" t="s">
        <v>681</v>
      </c>
      <c r="B21" s="1588"/>
      <c r="C21" s="1588"/>
      <c r="D21" s="1588"/>
      <c r="E21" s="1588"/>
      <c r="F21" s="1588"/>
      <c r="G21" s="1588"/>
      <c r="H21" s="1588"/>
      <c r="I21" s="1588"/>
      <c r="J21" s="1588"/>
      <c r="K21" s="2"/>
      <c r="L21" s="2"/>
    </row>
    <row r="22" spans="3:12" ht="12.75" customHeight="1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2.75" customHeight="1">
      <c r="C23" s="2"/>
      <c r="D23" s="2"/>
      <c r="E23" s="2"/>
      <c r="F23" s="2"/>
      <c r="G23" s="2"/>
      <c r="H23" s="2"/>
      <c r="I23" s="2"/>
      <c r="J23" s="2"/>
      <c r="K23" s="2"/>
      <c r="L23" s="2"/>
    </row>
    <row r="25" spans="1:10" ht="18">
      <c r="A25" s="1588" t="s">
        <v>0</v>
      </c>
      <c r="B25" s="1588"/>
      <c r="C25" s="1588"/>
      <c r="D25" s="1588"/>
      <c r="E25" s="1588"/>
      <c r="F25" s="1588"/>
      <c r="G25" s="1588"/>
      <c r="H25" s="1588"/>
      <c r="I25" s="1588"/>
      <c r="J25" s="1588"/>
    </row>
    <row r="38" spans="2:9" ht="12.75">
      <c r="B38" s="4" t="s">
        <v>1</v>
      </c>
      <c r="F38" s="4" t="s">
        <v>2</v>
      </c>
      <c r="I38" s="4"/>
    </row>
    <row r="39" spans="2:6" ht="12.75">
      <c r="B39" s="1" t="s">
        <v>3</v>
      </c>
      <c r="F39" s="1" t="s">
        <v>4</v>
      </c>
    </row>
    <row r="41" spans="2:9" ht="12.75">
      <c r="B41" s="4" t="s">
        <v>5</v>
      </c>
      <c r="F41" s="4" t="s">
        <v>6</v>
      </c>
      <c r="I41" s="4"/>
    </row>
    <row r="42" spans="2:9" ht="12.75">
      <c r="B42" s="5" t="s">
        <v>7</v>
      </c>
      <c r="F42" s="5" t="s">
        <v>8</v>
      </c>
      <c r="I42" s="5"/>
    </row>
    <row r="43" ht="12.75">
      <c r="B43" s="5" t="s">
        <v>9</v>
      </c>
    </row>
  </sheetData>
  <mergeCells count="2">
    <mergeCell ref="A21:J21"/>
    <mergeCell ref="A25:J25"/>
  </mergeCells>
  <printOptions/>
  <pageMargins left="0.5513888888888889" right="0.5513888888888889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1">
      <selection activeCell="I9" sqref="I9"/>
    </sheetView>
  </sheetViews>
  <sheetFormatPr defaultColWidth="9.00390625" defaultRowHeight="12.75"/>
  <cols>
    <col min="1" max="1" width="3.625" style="316" customWidth="1"/>
    <col min="2" max="2" width="4.125" style="317" customWidth="1"/>
    <col min="3" max="3" width="9.375" style="318" customWidth="1"/>
    <col min="4" max="4" width="3.375" style="318" customWidth="1"/>
    <col min="5" max="5" width="31.375" style="318" customWidth="1"/>
    <col min="6" max="6" width="8.875" style="318" customWidth="1"/>
    <col min="7" max="7" width="0" style="318" hidden="1" customWidth="1"/>
    <col min="8" max="12" width="8.25390625" style="318" customWidth="1"/>
    <col min="13" max="16384" width="9.125" style="318" customWidth="1"/>
  </cols>
  <sheetData>
    <row r="1" spans="2:12" ht="15.75">
      <c r="B1" s="322" t="s">
        <v>314</v>
      </c>
      <c r="E1" s="322" t="s">
        <v>315</v>
      </c>
      <c r="F1" s="320"/>
      <c r="G1" s="504" t="e">
        <f>G2-G7</f>
        <v>#N/A</v>
      </c>
      <c r="H1" s="504"/>
      <c r="I1" s="504"/>
      <c r="J1" s="330">
        <f>J2-J7</f>
        <v>0</v>
      </c>
      <c r="K1" s="330">
        <f>K2-K7</f>
        <v>0</v>
      </c>
      <c r="L1" s="330">
        <f>L2-L7</f>
        <v>0</v>
      </c>
    </row>
    <row r="2" spans="2:12" ht="16.5" thickBot="1">
      <c r="B2" s="322"/>
      <c r="F2" s="504"/>
      <c r="G2" s="504" t="e">
        <f>SUM(G8:G10)</f>
        <v>#N/A</v>
      </c>
      <c r="H2" s="504"/>
      <c r="I2" s="504"/>
      <c r="J2" s="330">
        <f>SUM(J8:J10)</f>
        <v>58600</v>
      </c>
      <c r="K2" s="330">
        <f>SUM(K8:K10)</f>
        <v>60818.08</v>
      </c>
      <c r="L2" s="330">
        <f>SUM(L8:L10)</f>
        <v>103.78511945392492</v>
      </c>
    </row>
    <row r="3" spans="1:12" ht="16.5" thickBot="1">
      <c r="A3" s="331"/>
      <c r="B3" s="332"/>
      <c r="C3" s="333"/>
      <c r="D3" s="333"/>
      <c r="E3" s="334"/>
      <c r="F3" s="335"/>
      <c r="G3" s="336" t="s">
        <v>137</v>
      </c>
      <c r="H3" s="1598" t="s">
        <v>138</v>
      </c>
      <c r="I3" s="1599"/>
      <c r="J3" s="1600"/>
      <c r="K3" s="1601" t="s">
        <v>139</v>
      </c>
      <c r="L3" s="1602"/>
    </row>
    <row r="4" spans="1:12" ht="15" customHeight="1" thickBot="1">
      <c r="A4" s="337"/>
      <c r="B4" s="338" t="s">
        <v>140</v>
      </c>
      <c r="C4" s="339" t="s">
        <v>141</v>
      </c>
      <c r="D4" s="1603" t="s">
        <v>142</v>
      </c>
      <c r="E4" s="1603"/>
      <c r="F4" s="1603"/>
      <c r="G4" s="340"/>
      <c r="H4" s="341">
        <v>2012</v>
      </c>
      <c r="I4" s="341" t="s">
        <v>143</v>
      </c>
      <c r="J4" s="341" t="s">
        <v>144</v>
      </c>
      <c r="K4" s="342">
        <v>2012</v>
      </c>
      <c r="L4" s="342" t="s">
        <v>15</v>
      </c>
    </row>
    <row r="5" spans="1:12" ht="12" customHeight="1">
      <c r="A5" s="337"/>
      <c r="B5" s="338" t="s">
        <v>145</v>
      </c>
      <c r="C5" s="339" t="s">
        <v>146</v>
      </c>
      <c r="D5" s="1603"/>
      <c r="E5" s="1603"/>
      <c r="F5" s="1603"/>
      <c r="G5" s="343" t="s">
        <v>147</v>
      </c>
      <c r="H5" s="344" t="s">
        <v>148</v>
      </c>
      <c r="I5" s="344" t="s">
        <v>148</v>
      </c>
      <c r="J5" s="344" t="s">
        <v>148</v>
      </c>
      <c r="K5" s="345" t="s">
        <v>149</v>
      </c>
      <c r="L5" s="345"/>
    </row>
    <row r="6" spans="1:12" ht="12.75">
      <c r="A6" s="337"/>
      <c r="B6" s="338" t="s">
        <v>150</v>
      </c>
      <c r="C6" s="339" t="s">
        <v>151</v>
      </c>
      <c r="D6" s="1603"/>
      <c r="E6" s="1603"/>
      <c r="F6" s="1603"/>
      <c r="G6" s="346">
        <v>1</v>
      </c>
      <c r="H6" s="346">
        <v>1</v>
      </c>
      <c r="I6" s="346">
        <v>2</v>
      </c>
      <c r="J6" s="347">
        <v>3</v>
      </c>
      <c r="K6" s="348">
        <v>4</v>
      </c>
      <c r="L6" s="348">
        <v>5</v>
      </c>
    </row>
    <row r="7" spans="1:12" ht="15">
      <c r="A7" s="357">
        <v>1</v>
      </c>
      <c r="B7" s="350" t="s">
        <v>314</v>
      </c>
      <c r="C7" s="664"/>
      <c r="D7" s="665"/>
      <c r="E7" s="352" t="s">
        <v>315</v>
      </c>
      <c r="F7" s="666"/>
      <c r="G7" s="607" t="e">
        <f>G11+"$#REF!$#REF!+$#REF!$#REF!+$#REF!$#REF!+$#REF!$#REF!+$#REF!$#REF!+$#REF!$#REF!+$#REF!$#REF!+$#REF!$#REF!"</f>
        <v>#N/A</v>
      </c>
      <c r="H7" s="355">
        <f>SUM(H8:H10)</f>
        <v>58850</v>
      </c>
      <c r="I7" s="355">
        <f>SUM(I8:I10)</f>
        <v>52000</v>
      </c>
      <c r="J7" s="355">
        <f>SUM(J8:J10)</f>
        <v>58600</v>
      </c>
      <c r="K7" s="355">
        <f>SUM(K8:K10)</f>
        <v>60818.08</v>
      </c>
      <c r="L7" s="356">
        <f>K7/J7*100</f>
        <v>103.78511945392492</v>
      </c>
    </row>
    <row r="8" spans="1:12" ht="12.75">
      <c r="A8" s="357">
        <f aca="true" t="shared" si="0" ref="A8:A15">A7+1</f>
        <v>2</v>
      </c>
      <c r="B8" s="358" t="s">
        <v>153</v>
      </c>
      <c r="C8" s="359" t="s">
        <v>154</v>
      </c>
      <c r="D8" s="360"/>
      <c r="E8" s="361"/>
      <c r="F8" s="362"/>
      <c r="G8" s="517" t="e">
        <f>G12+G20+"$#REF!$#REF!+$#REF!$#REF!+$#REF!$#REF!+$#REF!$#REF!+$#REF!$#REF!+$#REF!$#REF!"</f>
        <v>#N/A</v>
      </c>
      <c r="H8" s="519">
        <f>SUM(H12+H20+H30+H44+H48+H52+H61+H66)</f>
        <v>58850</v>
      </c>
      <c r="I8" s="519">
        <f>SUM(I12+I20+I30+I44+I48+I52+I61+I66)</f>
        <v>52000</v>
      </c>
      <c r="J8" s="519">
        <f>SUM(J12+J20+J30+J44+J48+J52+J61+J66)</f>
        <v>58600</v>
      </c>
      <c r="K8" s="519">
        <f>SUM(K12+K20+K30+K44+K48+K52+K61+K66)</f>
        <v>60818.08</v>
      </c>
      <c r="L8" s="365">
        <f>K8/J8*100</f>
        <v>103.78511945392492</v>
      </c>
    </row>
    <row r="9" spans="1:12" ht="12.75">
      <c r="A9" s="357">
        <f t="shared" si="0"/>
        <v>3</v>
      </c>
      <c r="B9" s="358" t="s">
        <v>155</v>
      </c>
      <c r="C9" s="359" t="s">
        <v>156</v>
      </c>
      <c r="D9" s="360"/>
      <c r="E9" s="361"/>
      <c r="F9" s="362"/>
      <c r="G9" s="517" t="e">
        <f>G25+"$#REF!$#REF!+$#REF!$#REF!+$#REF!$#REF!+$#REF!$#REF!"</f>
        <v>#N/A</v>
      </c>
      <c r="H9" s="519">
        <f>SUM(H25+H41+H57)</f>
        <v>0</v>
      </c>
      <c r="I9" s="519">
        <f>SUM(I25+I41+I57)</f>
        <v>0</v>
      </c>
      <c r="J9" s="518">
        <f>SUM(J25+J41+J57)</f>
        <v>0</v>
      </c>
      <c r="K9" s="519">
        <f>SUM(K25+K41+K57)</f>
        <v>0</v>
      </c>
      <c r="L9" s="365">
        <v>0</v>
      </c>
    </row>
    <row r="10" spans="1:12" ht="12.75">
      <c r="A10" s="357">
        <f t="shared" si="0"/>
        <v>4</v>
      </c>
      <c r="B10" s="366"/>
      <c r="C10" s="367" t="s">
        <v>157</v>
      </c>
      <c r="D10" s="368"/>
      <c r="E10" s="369"/>
      <c r="F10" s="370"/>
      <c r="G10" s="522" t="str">
        <f>"$#REF!$#REF!+$#REF!$#REF!"</f>
        <v>$#REF!$#REF!+$#REF!$#REF!</v>
      </c>
      <c r="H10" s="519">
        <v>0</v>
      </c>
      <c r="I10" s="519">
        <v>0</v>
      </c>
      <c r="J10" s="523">
        <v>0</v>
      </c>
      <c r="K10" s="519">
        <v>0</v>
      </c>
      <c r="L10" s="365">
        <v>0</v>
      </c>
    </row>
    <row r="11" spans="1:12" ht="12.75">
      <c r="A11" s="357">
        <f t="shared" si="0"/>
        <v>5</v>
      </c>
      <c r="B11" s="374">
        <v>1</v>
      </c>
      <c r="C11" s="486" t="s">
        <v>316</v>
      </c>
      <c r="D11" s="376"/>
      <c r="E11" s="376"/>
      <c r="F11" s="377"/>
      <c r="G11" s="378" t="e">
        <f>SUM(G13)</f>
        <v>#N/A</v>
      </c>
      <c r="H11" s="379">
        <f aca="true" t="shared" si="1" ref="H11:K12">H12</f>
        <v>21150</v>
      </c>
      <c r="I11" s="379">
        <f t="shared" si="1"/>
        <v>16300</v>
      </c>
      <c r="J11" s="526">
        <f t="shared" si="1"/>
        <v>14900</v>
      </c>
      <c r="K11" s="379">
        <f t="shared" si="1"/>
        <v>16294.490000000002</v>
      </c>
      <c r="L11" s="640">
        <f aca="true" t="shared" si="2" ref="L11:L17">K11/J11*100</f>
        <v>109.35899328859063</v>
      </c>
    </row>
    <row r="12" spans="1:12" ht="12.75">
      <c r="A12" s="357">
        <f t="shared" si="0"/>
        <v>6</v>
      </c>
      <c r="B12" s="391"/>
      <c r="C12" s="392"/>
      <c r="D12" s="362" t="s">
        <v>154</v>
      </c>
      <c r="E12" s="393"/>
      <c r="F12" s="394"/>
      <c r="G12" s="395" t="e">
        <f>G13</f>
        <v>#N/A</v>
      </c>
      <c r="H12" s="396">
        <f t="shared" si="1"/>
        <v>21150</v>
      </c>
      <c r="I12" s="396">
        <f t="shared" si="1"/>
        <v>16300</v>
      </c>
      <c r="J12" s="396">
        <f t="shared" si="1"/>
        <v>14900</v>
      </c>
      <c r="K12" s="396">
        <f t="shared" si="1"/>
        <v>16294.490000000002</v>
      </c>
      <c r="L12" s="397">
        <f t="shared" si="2"/>
        <v>109.35899328859063</v>
      </c>
    </row>
    <row r="13" spans="1:12" ht="12.75">
      <c r="A13" s="357">
        <f t="shared" si="0"/>
        <v>7</v>
      </c>
      <c r="B13" s="391"/>
      <c r="C13" s="484" t="s">
        <v>317</v>
      </c>
      <c r="D13" s="400" t="s">
        <v>318</v>
      </c>
      <c r="E13" s="401"/>
      <c r="F13" s="402"/>
      <c r="G13" s="454" t="e">
        <f>NA()</f>
        <v>#N/A</v>
      </c>
      <c r="H13" s="455">
        <f>SUM(H14:H18)</f>
        <v>21150</v>
      </c>
      <c r="I13" s="455">
        <f>SUM(I14:I18)</f>
        <v>16300</v>
      </c>
      <c r="J13" s="455">
        <f>SUM(J14,J15,J16,J17,J18)</f>
        <v>14900</v>
      </c>
      <c r="K13" s="455">
        <f>SUM(K14:K18)</f>
        <v>16294.490000000002</v>
      </c>
      <c r="L13" s="405">
        <f t="shared" si="2"/>
        <v>109.35899328859063</v>
      </c>
    </row>
    <row r="14" spans="1:12" ht="12.75">
      <c r="A14" s="357">
        <f t="shared" si="0"/>
        <v>8</v>
      </c>
      <c r="B14" s="391"/>
      <c r="C14" s="442" t="s">
        <v>169</v>
      </c>
      <c r="D14" s="456" t="s">
        <v>190</v>
      </c>
      <c r="E14" s="444" t="s">
        <v>319</v>
      </c>
      <c r="F14" s="667"/>
      <c r="G14" s="668"/>
      <c r="H14" s="459">
        <f>výdavky!M332</f>
        <v>15000</v>
      </c>
      <c r="I14" s="459">
        <f>výdavky!P332</f>
        <v>10000</v>
      </c>
      <c r="J14" s="669">
        <f>výdavky!T332</f>
        <v>8000</v>
      </c>
      <c r="K14" s="459">
        <f>výdavky!V332</f>
        <v>8520.82</v>
      </c>
      <c r="L14" s="413">
        <f t="shared" si="2"/>
        <v>106.51025000000001</v>
      </c>
    </row>
    <row r="15" spans="1:12" ht="12.75">
      <c r="A15" s="357">
        <f t="shared" si="0"/>
        <v>9</v>
      </c>
      <c r="B15" s="391"/>
      <c r="C15" s="442" t="s">
        <v>171</v>
      </c>
      <c r="D15" s="461" t="s">
        <v>192</v>
      </c>
      <c r="E15" s="448" t="s">
        <v>320</v>
      </c>
      <c r="F15" s="670"/>
      <c r="G15" s="671"/>
      <c r="H15" s="453">
        <f>výdavky!M333</f>
        <v>150</v>
      </c>
      <c r="I15" s="453">
        <f>výdavky!P333</f>
        <v>300</v>
      </c>
      <c r="J15" s="672">
        <f>výdavky!T333</f>
        <v>300</v>
      </c>
      <c r="K15" s="453">
        <f>výdavky!V333</f>
        <v>425.84</v>
      </c>
      <c r="L15" s="419">
        <f t="shared" si="2"/>
        <v>141.94666666666666</v>
      </c>
    </row>
    <row r="16" spans="1:12" ht="12.75">
      <c r="A16" s="357">
        <v>10</v>
      </c>
      <c r="B16" s="391"/>
      <c r="C16" s="442" t="s">
        <v>173</v>
      </c>
      <c r="D16" s="456" t="s">
        <v>203</v>
      </c>
      <c r="E16" s="444" t="s">
        <v>321</v>
      </c>
      <c r="F16" s="667"/>
      <c r="G16" s="668"/>
      <c r="H16" s="459">
        <f>výdavky!M334</f>
        <v>5000</v>
      </c>
      <c r="I16" s="459">
        <f>výdavky!P334</f>
        <v>5000</v>
      </c>
      <c r="J16" s="669">
        <f>výdavky!T334</f>
        <v>6100</v>
      </c>
      <c r="K16" s="459">
        <f>výdavky!V334</f>
        <v>6879.54</v>
      </c>
      <c r="L16" s="413">
        <f t="shared" si="2"/>
        <v>112.77934426229508</v>
      </c>
    </row>
    <row r="17" spans="1:12" ht="12.75">
      <c r="A17" s="357">
        <v>11</v>
      </c>
      <c r="B17" s="391"/>
      <c r="C17" s="442" t="s">
        <v>175</v>
      </c>
      <c r="D17" s="461" t="s">
        <v>205</v>
      </c>
      <c r="E17" s="448" t="s">
        <v>255</v>
      </c>
      <c r="F17" s="670"/>
      <c r="G17" s="671"/>
      <c r="H17" s="453">
        <f>výdavky!M336</f>
        <v>500</v>
      </c>
      <c r="I17" s="453">
        <f>výdavky!P335</f>
        <v>500</v>
      </c>
      <c r="J17" s="672">
        <f>výdavky!T335</f>
        <v>500</v>
      </c>
      <c r="K17" s="453">
        <f>výdavky!V335</f>
        <v>468.29</v>
      </c>
      <c r="L17" s="419">
        <f t="shared" si="2"/>
        <v>93.658</v>
      </c>
    </row>
    <row r="18" spans="1:12" ht="12.75">
      <c r="A18" s="357">
        <v>12</v>
      </c>
      <c r="B18" s="391"/>
      <c r="C18" s="442" t="s">
        <v>179</v>
      </c>
      <c r="D18" s="461" t="s">
        <v>207</v>
      </c>
      <c r="E18" s="448" t="s">
        <v>180</v>
      </c>
      <c r="F18" s="670"/>
      <c r="G18" s="671"/>
      <c r="H18" s="453">
        <f>výdavky!M336</f>
        <v>500</v>
      </c>
      <c r="I18" s="453">
        <f>výdavky!P336</f>
        <v>500</v>
      </c>
      <c r="J18" s="672">
        <v>0</v>
      </c>
      <c r="K18" s="453">
        <v>0</v>
      </c>
      <c r="L18" s="419">
        <f>'[1]výdavky'!H264</f>
        <v>0</v>
      </c>
    </row>
    <row r="19" spans="1:12" ht="12.75">
      <c r="A19" s="357">
        <f aca="true" t="shared" si="3" ref="A19:A27">A18+1</f>
        <v>13</v>
      </c>
      <c r="B19" s="374">
        <v>2</v>
      </c>
      <c r="C19" s="486" t="s">
        <v>322</v>
      </c>
      <c r="D19" s="376"/>
      <c r="E19" s="376"/>
      <c r="F19" s="377"/>
      <c r="G19" s="378">
        <f>SUM(G21)</f>
        <v>580.8</v>
      </c>
      <c r="H19" s="380">
        <f>SUM(H20+H25)</f>
        <v>2000</v>
      </c>
      <c r="I19" s="380">
        <f>SUM(I20+I25)</f>
        <v>2000</v>
      </c>
      <c r="J19" s="526">
        <f>SUM(J20+J25)</f>
        <v>5100</v>
      </c>
      <c r="K19" s="380">
        <f>SUM(K20+K25)</f>
        <v>6123.39</v>
      </c>
      <c r="L19" s="381">
        <f>K19/J19*100</f>
        <v>120.06647058823529</v>
      </c>
    </row>
    <row r="20" spans="1:12" ht="12.75">
      <c r="A20" s="357">
        <f t="shared" si="3"/>
        <v>14</v>
      </c>
      <c r="B20" s="391"/>
      <c r="C20" s="392"/>
      <c r="D20" s="362" t="s">
        <v>154</v>
      </c>
      <c r="E20" s="393"/>
      <c r="F20" s="394"/>
      <c r="G20" s="395">
        <f>G21</f>
        <v>580.8</v>
      </c>
      <c r="H20" s="396">
        <f>H21</f>
        <v>2000</v>
      </c>
      <c r="I20" s="396">
        <f>I21</f>
        <v>2000</v>
      </c>
      <c r="J20" s="528">
        <f>J21</f>
        <v>5100</v>
      </c>
      <c r="K20" s="396">
        <f>K21</f>
        <v>6123.39</v>
      </c>
      <c r="L20" s="397">
        <f>K20/J20*100</f>
        <v>120.06647058823529</v>
      </c>
    </row>
    <row r="21" spans="1:12" ht="12.75">
      <c r="A21" s="357">
        <f t="shared" si="3"/>
        <v>15</v>
      </c>
      <c r="B21" s="430"/>
      <c r="C21" s="484" t="s">
        <v>317</v>
      </c>
      <c r="D21" s="400" t="s">
        <v>318</v>
      </c>
      <c r="E21" s="401"/>
      <c r="F21" s="402"/>
      <c r="G21" s="441">
        <f>SUM(G22:G23)</f>
        <v>580.8</v>
      </c>
      <c r="H21" s="404">
        <f>SUM(H22:H24)</f>
        <v>2000</v>
      </c>
      <c r="I21" s="404">
        <f>SUM(I22:I24)</f>
        <v>2000</v>
      </c>
      <c r="J21" s="404">
        <f>J22+J23+J24</f>
        <v>5100</v>
      </c>
      <c r="K21" s="404">
        <f>SUM(K22:K24)</f>
        <v>6123.39</v>
      </c>
      <c r="L21" s="405">
        <f>K21/J21*100</f>
        <v>120.06647058823529</v>
      </c>
    </row>
    <row r="22" spans="1:12" ht="12.75">
      <c r="A22" s="357">
        <f t="shared" si="3"/>
        <v>16</v>
      </c>
      <c r="B22" s="430"/>
      <c r="C22" s="462" t="s">
        <v>189</v>
      </c>
      <c r="D22" s="456" t="s">
        <v>190</v>
      </c>
      <c r="E22" s="409" t="s">
        <v>323</v>
      </c>
      <c r="F22" s="457"/>
      <c r="G22" s="673">
        <f>ROUND(K22/30.126,1)</f>
        <v>170.1</v>
      </c>
      <c r="H22" s="478">
        <f>výdavky!M337</f>
        <v>2000</v>
      </c>
      <c r="I22" s="478">
        <f>výdavky!P337</f>
        <v>2000</v>
      </c>
      <c r="J22" s="674">
        <f>výdavky!T337</f>
        <v>5100</v>
      </c>
      <c r="K22" s="478">
        <v>5123.39</v>
      </c>
      <c r="L22" s="413">
        <f>K22/J22*100</f>
        <v>100.4586274509804</v>
      </c>
    </row>
    <row r="23" spans="1:12" ht="12.75">
      <c r="A23" s="357">
        <f t="shared" si="3"/>
        <v>17</v>
      </c>
      <c r="B23" s="430"/>
      <c r="C23" s="460" t="s">
        <v>189</v>
      </c>
      <c r="D23" s="461" t="s">
        <v>192</v>
      </c>
      <c r="E23" s="420" t="s">
        <v>324</v>
      </c>
      <c r="F23" s="428"/>
      <c r="G23" s="675">
        <f>397.4+13.3</f>
        <v>410.7</v>
      </c>
      <c r="H23" s="480">
        <v>0</v>
      </c>
      <c r="I23" s="480">
        <v>0</v>
      </c>
      <c r="J23" s="534">
        <v>0</v>
      </c>
      <c r="K23" s="480">
        <v>1000</v>
      </c>
      <c r="L23" s="419">
        <v>0</v>
      </c>
    </row>
    <row r="24" spans="1:12" ht="12.75">
      <c r="A24" s="357">
        <f t="shared" si="3"/>
        <v>18</v>
      </c>
      <c r="B24" s="430"/>
      <c r="C24" s="460" t="s">
        <v>189</v>
      </c>
      <c r="D24" s="461" t="s">
        <v>203</v>
      </c>
      <c r="E24" s="420" t="s">
        <v>325</v>
      </c>
      <c r="F24" s="428"/>
      <c r="G24" s="675"/>
      <c r="H24" s="480">
        <v>0</v>
      </c>
      <c r="I24" s="480">
        <v>0</v>
      </c>
      <c r="J24" s="534">
        <v>0</v>
      </c>
      <c r="K24" s="480">
        <v>0</v>
      </c>
      <c r="L24" s="419">
        <f>'[1]výdavky'!H268</f>
        <v>0</v>
      </c>
    </row>
    <row r="25" spans="1:12" ht="12.75">
      <c r="A25" s="357">
        <f t="shared" si="3"/>
        <v>19</v>
      </c>
      <c r="B25" s="430"/>
      <c r="C25" s="460"/>
      <c r="D25" s="362" t="s">
        <v>156</v>
      </c>
      <c r="E25" s="427"/>
      <c r="F25" s="394"/>
      <c r="G25" s="644" t="e">
        <f aca="true" t="shared" si="4" ref="G25:L25">G26</f>
        <v>#N/A</v>
      </c>
      <c r="H25" s="618">
        <f t="shared" si="4"/>
        <v>0</v>
      </c>
      <c r="I25" s="618">
        <f t="shared" si="4"/>
        <v>0</v>
      </c>
      <c r="J25" s="676">
        <f t="shared" si="4"/>
        <v>0</v>
      </c>
      <c r="K25" s="618">
        <f t="shared" si="4"/>
        <v>0</v>
      </c>
      <c r="L25" s="397">
        <f t="shared" si="4"/>
        <v>0</v>
      </c>
    </row>
    <row r="26" spans="1:12" ht="12.75">
      <c r="A26" s="357">
        <f t="shared" si="3"/>
        <v>20</v>
      </c>
      <c r="B26" s="430"/>
      <c r="C26" s="484" t="s">
        <v>317</v>
      </c>
      <c r="D26" s="400" t="s">
        <v>318</v>
      </c>
      <c r="E26" s="401"/>
      <c r="F26" s="402"/>
      <c r="G26" s="441" t="e">
        <f>NA()</f>
        <v>#N/A</v>
      </c>
      <c r="H26" s="404">
        <f>SUM(H27:H27)</f>
        <v>0</v>
      </c>
      <c r="I26" s="404">
        <f>SUM(I27:I27)</f>
        <v>0</v>
      </c>
      <c r="J26" s="677">
        <f>SUM(J27:J27)</f>
        <v>0</v>
      </c>
      <c r="K26" s="404">
        <f>SUM(K27:K27)</f>
        <v>0</v>
      </c>
      <c r="L26" s="405">
        <f>SUM(L27:L27)</f>
        <v>0</v>
      </c>
    </row>
    <row r="27" spans="1:12" ht="12.75">
      <c r="A27" s="357">
        <f t="shared" si="3"/>
        <v>21</v>
      </c>
      <c r="B27" s="430"/>
      <c r="C27" s="460" t="s">
        <v>269</v>
      </c>
      <c r="D27" s="461" t="s">
        <v>205</v>
      </c>
      <c r="E27" s="415"/>
      <c r="F27" s="670"/>
      <c r="G27" s="450"/>
      <c r="H27" s="418">
        <v>0</v>
      </c>
      <c r="I27" s="418">
        <v>0</v>
      </c>
      <c r="J27" s="534">
        <v>0</v>
      </c>
      <c r="K27" s="418">
        <v>0</v>
      </c>
      <c r="L27" s="419">
        <v>0</v>
      </c>
    </row>
    <row r="28" spans="1:12" ht="12.75">
      <c r="A28" s="357">
        <v>22</v>
      </c>
      <c r="B28" s="374">
        <v>3</v>
      </c>
      <c r="C28" s="486" t="s">
        <v>326</v>
      </c>
      <c r="D28" s="376"/>
      <c r="E28" s="376"/>
      <c r="F28" s="377"/>
      <c r="G28" s="378">
        <f>G31+G62</f>
        <v>440.7</v>
      </c>
      <c r="H28" s="380">
        <f>SUM(H29,H43,H47)</f>
        <v>33200</v>
      </c>
      <c r="I28" s="380">
        <f>SUM(I29,I43,I47)</f>
        <v>31200</v>
      </c>
      <c r="J28" s="526">
        <f>SUM(J29,J43,J47)</f>
        <v>30100</v>
      </c>
      <c r="K28" s="380">
        <f>SUM(K29,K43,K47)</f>
        <v>30628.780000000002</v>
      </c>
      <c r="L28" s="381">
        <f aca="true" t="shared" si="5" ref="L28:L39">K28/J28*100</f>
        <v>101.75674418604652</v>
      </c>
    </row>
    <row r="29" spans="1:12" ht="12.75">
      <c r="A29" s="357">
        <f aca="true" t="shared" si="6" ref="A29:A36">A28+1</f>
        <v>23</v>
      </c>
      <c r="B29" s="430"/>
      <c r="C29" s="383" t="s">
        <v>159</v>
      </c>
      <c r="D29" s="384" t="s">
        <v>327</v>
      </c>
      <c r="E29" s="385"/>
      <c r="F29" s="386"/>
      <c r="G29" s="387">
        <f>F80</f>
        <v>0</v>
      </c>
      <c r="H29" s="388">
        <f>SUM(H30+H41)</f>
        <v>31800</v>
      </c>
      <c r="I29" s="388">
        <f>SUM(I30+I41)</f>
        <v>29800</v>
      </c>
      <c r="J29" s="678">
        <f>SUM(J30+J41)</f>
        <v>28700</v>
      </c>
      <c r="K29" s="388">
        <f>SUM(K30+K41)</f>
        <v>29219.010000000002</v>
      </c>
      <c r="L29" s="389">
        <f t="shared" si="5"/>
        <v>101.80839721254355</v>
      </c>
    </row>
    <row r="30" spans="1:12" ht="12.75">
      <c r="A30" s="357">
        <f t="shared" si="6"/>
        <v>24</v>
      </c>
      <c r="B30" s="391"/>
      <c r="C30" s="392"/>
      <c r="D30" s="362" t="s">
        <v>154</v>
      </c>
      <c r="E30" s="393"/>
      <c r="F30" s="394"/>
      <c r="G30" s="395">
        <f>G31+G62</f>
        <v>440.7</v>
      </c>
      <c r="H30" s="396">
        <f>H31</f>
        <v>31800</v>
      </c>
      <c r="I30" s="396">
        <f>I31</f>
        <v>29800</v>
      </c>
      <c r="J30" s="528">
        <f>J31</f>
        <v>28700</v>
      </c>
      <c r="K30" s="396">
        <f>K31</f>
        <v>29219.010000000002</v>
      </c>
      <c r="L30" s="397">
        <f t="shared" si="5"/>
        <v>101.80839721254355</v>
      </c>
    </row>
    <row r="31" spans="1:12" ht="12.75">
      <c r="A31" s="357">
        <f t="shared" si="6"/>
        <v>25</v>
      </c>
      <c r="B31" s="430"/>
      <c r="C31" s="484" t="s">
        <v>328</v>
      </c>
      <c r="D31" s="400" t="s">
        <v>327</v>
      </c>
      <c r="E31" s="401"/>
      <c r="F31" s="402"/>
      <c r="G31" s="441">
        <f>SUM(G32:G42)</f>
        <v>440.7</v>
      </c>
      <c r="H31" s="404">
        <f>SUM(H32:H40)</f>
        <v>31800</v>
      </c>
      <c r="I31" s="404">
        <f>SUM(I32:I40)</f>
        <v>29800</v>
      </c>
      <c r="J31" s="404">
        <f>SUM(J32:J40)</f>
        <v>28700</v>
      </c>
      <c r="K31" s="404">
        <f>SUM(K32:K40)</f>
        <v>29219.010000000002</v>
      </c>
      <c r="L31" s="405">
        <f t="shared" si="5"/>
        <v>101.80839721254355</v>
      </c>
    </row>
    <row r="32" spans="1:12" ht="12.75">
      <c r="A32" s="357">
        <f t="shared" si="6"/>
        <v>26</v>
      </c>
      <c r="B32" s="679"/>
      <c r="C32" s="442" t="s">
        <v>163</v>
      </c>
      <c r="D32" s="456" t="s">
        <v>190</v>
      </c>
      <c r="E32" s="485" t="s">
        <v>329</v>
      </c>
      <c r="F32" s="457"/>
      <c r="G32" s="463">
        <f>ROUND(K32/30.126,1)</f>
        <v>440.7</v>
      </c>
      <c r="H32" s="412">
        <f>výdavky!M339</f>
        <v>14000</v>
      </c>
      <c r="I32" s="412">
        <f>výdavky!P339</f>
        <v>14000</v>
      </c>
      <c r="J32" s="674">
        <f>výdavky!T339</f>
        <v>14000</v>
      </c>
      <c r="K32" s="412">
        <f>výdavky!V339</f>
        <v>13277.75</v>
      </c>
      <c r="L32" s="413">
        <f t="shared" si="5"/>
        <v>94.84107142857144</v>
      </c>
    </row>
    <row r="33" spans="1:12" ht="12.75">
      <c r="A33" s="357">
        <f t="shared" si="6"/>
        <v>27</v>
      </c>
      <c r="B33" s="679"/>
      <c r="C33" s="442" t="s">
        <v>165</v>
      </c>
      <c r="D33" s="461" t="s">
        <v>192</v>
      </c>
      <c r="E33" s="415" t="s">
        <v>166</v>
      </c>
      <c r="F33" s="428"/>
      <c r="G33" s="429"/>
      <c r="H33" s="418">
        <f>výdavky!M340</f>
        <v>4400</v>
      </c>
      <c r="I33" s="418">
        <f>výdavky!P340</f>
        <v>4400</v>
      </c>
      <c r="J33" s="534">
        <f>výdavky!T340</f>
        <v>4400</v>
      </c>
      <c r="K33" s="418">
        <f>výdavky!V340</f>
        <v>4756.58</v>
      </c>
      <c r="L33" s="419">
        <f t="shared" si="5"/>
        <v>108.1040909090909</v>
      </c>
    </row>
    <row r="34" spans="1:12" ht="12.75">
      <c r="A34" s="357">
        <f t="shared" si="6"/>
        <v>28</v>
      </c>
      <c r="B34" s="679"/>
      <c r="C34" s="442" t="s">
        <v>169</v>
      </c>
      <c r="D34" s="456" t="s">
        <v>203</v>
      </c>
      <c r="E34" s="485" t="s">
        <v>319</v>
      </c>
      <c r="F34" s="457"/>
      <c r="G34" s="463"/>
      <c r="H34" s="412">
        <f>výdavky!M343</f>
        <v>12000</v>
      </c>
      <c r="I34" s="412">
        <f>výdavky!P343</f>
        <v>10000</v>
      </c>
      <c r="J34" s="674">
        <f>výdavky!T343</f>
        <v>7000</v>
      </c>
      <c r="K34" s="412">
        <f>výdavky!V343</f>
        <v>8009.03</v>
      </c>
      <c r="L34" s="413">
        <f t="shared" si="5"/>
        <v>114.41471428571428</v>
      </c>
    </row>
    <row r="35" spans="1:12" ht="12.75">
      <c r="A35" s="357">
        <f t="shared" si="6"/>
        <v>29</v>
      </c>
      <c r="B35" s="679"/>
      <c r="C35" s="442" t="s">
        <v>171</v>
      </c>
      <c r="D35" s="461" t="s">
        <v>205</v>
      </c>
      <c r="E35" s="415" t="s">
        <v>330</v>
      </c>
      <c r="F35" s="428"/>
      <c r="G35" s="429"/>
      <c r="H35" s="418">
        <f>výdavky!M344</f>
        <v>400</v>
      </c>
      <c r="I35" s="418">
        <f>výdavky!P344</f>
        <v>400</v>
      </c>
      <c r="J35" s="534">
        <f>výdavky!T344+výdavky!T345</f>
        <v>800</v>
      </c>
      <c r="K35" s="418">
        <f>výdavky!V344+výdavky!V345</f>
        <v>976.98</v>
      </c>
      <c r="L35" s="419">
        <f t="shared" si="5"/>
        <v>122.1225</v>
      </c>
    </row>
    <row r="36" spans="1:12" ht="12.75">
      <c r="A36" s="357">
        <f t="shared" si="6"/>
        <v>30</v>
      </c>
      <c r="B36" s="679"/>
      <c r="C36" s="442" t="s">
        <v>171</v>
      </c>
      <c r="D36" s="456" t="s">
        <v>207</v>
      </c>
      <c r="E36" s="485" t="s">
        <v>331</v>
      </c>
      <c r="F36" s="457"/>
      <c r="G36" s="463"/>
      <c r="H36" s="412">
        <v>0</v>
      </c>
      <c r="I36" s="412">
        <f>výdavky!P346</f>
        <v>0</v>
      </c>
      <c r="J36" s="674">
        <f>výdavky!T346</f>
        <v>500</v>
      </c>
      <c r="K36" s="412">
        <f>výdavky!V349</f>
        <v>663.44</v>
      </c>
      <c r="L36" s="413">
        <f t="shared" si="5"/>
        <v>132.68800000000002</v>
      </c>
    </row>
    <row r="37" spans="1:12" ht="12.75">
      <c r="A37" s="357">
        <v>30</v>
      </c>
      <c r="B37" s="679"/>
      <c r="C37" s="442" t="s">
        <v>173</v>
      </c>
      <c r="D37" s="461" t="s">
        <v>211</v>
      </c>
      <c r="E37" s="415" t="s">
        <v>174</v>
      </c>
      <c r="F37" s="428"/>
      <c r="G37" s="429"/>
      <c r="H37" s="418">
        <f>výdavky!M350</f>
        <v>200</v>
      </c>
      <c r="I37" s="418">
        <f>výdavky!P350</f>
        <v>200</v>
      </c>
      <c r="J37" s="534">
        <f>výdavky!T350+výdavky!T351</f>
        <v>700</v>
      </c>
      <c r="K37" s="418">
        <f>výdavky!V351</f>
        <v>713.08</v>
      </c>
      <c r="L37" s="419">
        <f t="shared" si="5"/>
        <v>101.86857142857144</v>
      </c>
    </row>
    <row r="38" spans="1:12" ht="12.75">
      <c r="A38" s="357">
        <f aca="true" t="shared" si="7" ref="A38:A46">A37+1</f>
        <v>31</v>
      </c>
      <c r="B38" s="679"/>
      <c r="C38" s="442" t="s">
        <v>175</v>
      </c>
      <c r="D38" s="456" t="s">
        <v>214</v>
      </c>
      <c r="E38" s="485" t="s">
        <v>255</v>
      </c>
      <c r="F38" s="457"/>
      <c r="G38" s="463"/>
      <c r="H38" s="412">
        <f>výdavky!M352</f>
        <v>300</v>
      </c>
      <c r="I38" s="412">
        <f>výdavky!P352</f>
        <v>300</v>
      </c>
      <c r="J38" s="674">
        <f>výdavky!T352</f>
        <v>400</v>
      </c>
      <c r="K38" s="412">
        <f>výdavky!V352</f>
        <v>399.08</v>
      </c>
      <c r="L38" s="413">
        <f t="shared" si="5"/>
        <v>99.77</v>
      </c>
    </row>
    <row r="39" spans="1:12" ht="12.75">
      <c r="A39" s="357">
        <f t="shared" si="7"/>
        <v>32</v>
      </c>
      <c r="B39" s="679"/>
      <c r="C39" s="442" t="s">
        <v>179</v>
      </c>
      <c r="D39" s="461" t="s">
        <v>243</v>
      </c>
      <c r="E39" s="415" t="s">
        <v>180</v>
      </c>
      <c r="F39" s="428"/>
      <c r="G39" s="429"/>
      <c r="H39" s="418">
        <f>výdavky!M355</f>
        <v>500</v>
      </c>
      <c r="I39" s="418">
        <f>výdavky!P355</f>
        <v>500</v>
      </c>
      <c r="J39" s="534">
        <f>výdavky!T354+výdavky!T355</f>
        <v>900</v>
      </c>
      <c r="K39" s="418">
        <f>výdavky!V354+výdavky!V355</f>
        <v>423.07000000000005</v>
      </c>
      <c r="L39" s="419">
        <f t="shared" si="5"/>
        <v>47.00777777777778</v>
      </c>
    </row>
    <row r="40" spans="1:12" ht="12.75">
      <c r="A40" s="357">
        <f t="shared" si="7"/>
        <v>33</v>
      </c>
      <c r="B40" s="679"/>
      <c r="C40" s="442" t="s">
        <v>189</v>
      </c>
      <c r="D40" s="461" t="s">
        <v>245</v>
      </c>
      <c r="E40" s="415" t="s">
        <v>280</v>
      </c>
      <c r="F40" s="428"/>
      <c r="G40" s="429"/>
      <c r="H40" s="418">
        <v>0</v>
      </c>
      <c r="I40" s="418">
        <v>0</v>
      </c>
      <c r="J40" s="534">
        <v>0</v>
      </c>
      <c r="K40" s="418">
        <v>0</v>
      </c>
      <c r="L40" s="419">
        <f>'[1]výdavky'!H287</f>
        <v>0</v>
      </c>
    </row>
    <row r="41" spans="1:12" ht="12.75">
      <c r="A41" s="357">
        <f t="shared" si="7"/>
        <v>34</v>
      </c>
      <c r="B41" s="436"/>
      <c r="C41" s="460"/>
      <c r="D41" s="362" t="s">
        <v>156</v>
      </c>
      <c r="E41" s="427"/>
      <c r="F41" s="394"/>
      <c r="G41" s="644">
        <f aca="true" t="shared" si="8" ref="G41:L41">G42</f>
        <v>0</v>
      </c>
      <c r="H41" s="618">
        <f t="shared" si="8"/>
        <v>0</v>
      </c>
      <c r="I41" s="618">
        <f t="shared" si="8"/>
        <v>0</v>
      </c>
      <c r="J41" s="676">
        <f t="shared" si="8"/>
        <v>0</v>
      </c>
      <c r="K41" s="618">
        <f t="shared" si="8"/>
        <v>0</v>
      </c>
      <c r="L41" s="397">
        <f t="shared" si="8"/>
        <v>0</v>
      </c>
    </row>
    <row r="42" spans="1:12" ht="12.75">
      <c r="A42" s="357">
        <f t="shared" si="7"/>
        <v>35</v>
      </c>
      <c r="B42" s="430"/>
      <c r="C42" s="462" t="s">
        <v>269</v>
      </c>
      <c r="D42" s="461" t="s">
        <v>332</v>
      </c>
      <c r="E42" s="563"/>
      <c r="F42" s="428"/>
      <c r="G42" s="429">
        <f>ROUND(K42/30.126,1)</f>
        <v>0</v>
      </c>
      <c r="H42" s="418">
        <v>0</v>
      </c>
      <c r="I42" s="418">
        <v>0</v>
      </c>
      <c r="J42" s="534">
        <v>0</v>
      </c>
      <c r="K42" s="418">
        <v>0</v>
      </c>
      <c r="L42" s="419">
        <v>0</v>
      </c>
    </row>
    <row r="43" spans="1:12" ht="12.75">
      <c r="A43" s="357">
        <f t="shared" si="7"/>
        <v>36</v>
      </c>
      <c r="B43" s="430"/>
      <c r="C43" s="383" t="s">
        <v>183</v>
      </c>
      <c r="D43" s="384" t="s">
        <v>333</v>
      </c>
      <c r="E43" s="385"/>
      <c r="F43" s="386"/>
      <c r="G43" s="387">
        <f>F92</f>
        <v>0</v>
      </c>
      <c r="H43" s="388">
        <f aca="true" t="shared" si="9" ref="H43:K45">H44</f>
        <v>800</v>
      </c>
      <c r="I43" s="388">
        <f t="shared" si="9"/>
        <v>800</v>
      </c>
      <c r="J43" s="678">
        <f t="shared" si="9"/>
        <v>800</v>
      </c>
      <c r="K43" s="388">
        <f t="shared" si="9"/>
        <v>817.88</v>
      </c>
      <c r="L43" s="389">
        <f aca="true" t="shared" si="10" ref="L43:L55">K43/J43*100</f>
        <v>102.23500000000001</v>
      </c>
    </row>
    <row r="44" spans="1:12" ht="12.75">
      <c r="A44" s="357">
        <f t="shared" si="7"/>
        <v>37</v>
      </c>
      <c r="B44" s="391"/>
      <c r="C44" s="392"/>
      <c r="D44" s="362" t="s">
        <v>154</v>
      </c>
      <c r="E44" s="393"/>
      <c r="F44" s="394"/>
      <c r="G44" s="395">
        <f>G45+G68</f>
        <v>2359.9000000000005</v>
      </c>
      <c r="H44" s="396">
        <f t="shared" si="9"/>
        <v>800</v>
      </c>
      <c r="I44" s="396">
        <f t="shared" si="9"/>
        <v>800</v>
      </c>
      <c r="J44" s="528">
        <f t="shared" si="9"/>
        <v>800</v>
      </c>
      <c r="K44" s="396">
        <f t="shared" si="9"/>
        <v>817.88</v>
      </c>
      <c r="L44" s="397">
        <f t="shared" si="10"/>
        <v>102.23500000000001</v>
      </c>
    </row>
    <row r="45" spans="1:12" ht="12.75">
      <c r="A45" s="357">
        <f t="shared" si="7"/>
        <v>38</v>
      </c>
      <c r="B45" s="430"/>
      <c r="C45" s="484" t="s">
        <v>334</v>
      </c>
      <c r="D45" s="400" t="s">
        <v>335</v>
      </c>
      <c r="E45" s="401"/>
      <c r="F45" s="402"/>
      <c r="G45" s="441">
        <f>SUM(G46:G64)</f>
        <v>2334.6000000000004</v>
      </c>
      <c r="H45" s="404">
        <f t="shared" si="9"/>
        <v>800</v>
      </c>
      <c r="I45" s="404">
        <f t="shared" si="9"/>
        <v>800</v>
      </c>
      <c r="J45" s="677">
        <f t="shared" si="9"/>
        <v>800</v>
      </c>
      <c r="K45" s="404">
        <f t="shared" si="9"/>
        <v>817.88</v>
      </c>
      <c r="L45" s="405">
        <f t="shared" si="10"/>
        <v>102.23500000000001</v>
      </c>
    </row>
    <row r="46" spans="1:12" ht="12.75">
      <c r="A46" s="357">
        <f t="shared" si="7"/>
        <v>39</v>
      </c>
      <c r="B46" s="430"/>
      <c r="C46" s="462" t="s">
        <v>201</v>
      </c>
      <c r="D46" s="461" t="s">
        <v>336</v>
      </c>
      <c r="E46" s="563" t="s">
        <v>337</v>
      </c>
      <c r="F46" s="428"/>
      <c r="G46" s="429"/>
      <c r="H46" s="418">
        <f>výdavky!M362</f>
        <v>800</v>
      </c>
      <c r="I46" s="418">
        <f>výdavky!P362</f>
        <v>800</v>
      </c>
      <c r="J46" s="534">
        <f>výdavky!T361</f>
        <v>800</v>
      </c>
      <c r="K46" s="418">
        <f>výdavky!V361</f>
        <v>817.88</v>
      </c>
      <c r="L46" s="419">
        <f t="shared" si="10"/>
        <v>102.23500000000001</v>
      </c>
    </row>
    <row r="47" spans="1:12" ht="12.75">
      <c r="A47" s="357">
        <v>40</v>
      </c>
      <c r="B47" s="430"/>
      <c r="C47" s="680" t="s">
        <v>338</v>
      </c>
      <c r="D47" s="1610" t="s">
        <v>339</v>
      </c>
      <c r="E47" s="1610"/>
      <c r="F47" s="681"/>
      <c r="G47" s="682"/>
      <c r="H47" s="388">
        <f aca="true" t="shared" si="11" ref="H47:K49">SUM(H48)</f>
        <v>600</v>
      </c>
      <c r="I47" s="388">
        <f t="shared" si="11"/>
        <v>600</v>
      </c>
      <c r="J47" s="678">
        <f t="shared" si="11"/>
        <v>600</v>
      </c>
      <c r="K47" s="388">
        <f t="shared" si="11"/>
        <v>591.89</v>
      </c>
      <c r="L47" s="389">
        <f t="shared" si="10"/>
        <v>98.64833333333333</v>
      </c>
    </row>
    <row r="48" spans="1:12" ht="12.75">
      <c r="A48" s="357">
        <v>41</v>
      </c>
      <c r="B48" s="430"/>
      <c r="C48" s="460"/>
      <c r="D48" s="1608" t="s">
        <v>154</v>
      </c>
      <c r="E48" s="1608"/>
      <c r="F48" s="616"/>
      <c r="G48" s="617"/>
      <c r="H48" s="683">
        <f t="shared" si="11"/>
        <v>600</v>
      </c>
      <c r="I48" s="683">
        <f t="shared" si="11"/>
        <v>600</v>
      </c>
      <c r="J48" s="684">
        <f t="shared" si="11"/>
        <v>600</v>
      </c>
      <c r="K48" s="683">
        <f t="shared" si="11"/>
        <v>591.89</v>
      </c>
      <c r="L48" s="685">
        <f t="shared" si="10"/>
        <v>98.64833333333333</v>
      </c>
    </row>
    <row r="49" spans="1:12" s="623" customFormat="1" ht="12.75">
      <c r="A49" s="357">
        <v>42</v>
      </c>
      <c r="B49" s="686"/>
      <c r="C49" s="643" t="s">
        <v>340</v>
      </c>
      <c r="D49" s="1609" t="s">
        <v>341</v>
      </c>
      <c r="E49" s="1609"/>
      <c r="F49" s="440"/>
      <c r="G49" s="441"/>
      <c r="H49" s="404">
        <f t="shared" si="11"/>
        <v>600</v>
      </c>
      <c r="I49" s="404">
        <f t="shared" si="11"/>
        <v>600</v>
      </c>
      <c r="J49" s="677">
        <f t="shared" si="11"/>
        <v>600</v>
      </c>
      <c r="K49" s="404">
        <f t="shared" si="11"/>
        <v>591.89</v>
      </c>
      <c r="L49" s="405">
        <f t="shared" si="10"/>
        <v>98.64833333333333</v>
      </c>
    </row>
    <row r="50" spans="1:12" ht="12.75">
      <c r="A50" s="357">
        <v>43</v>
      </c>
      <c r="B50" s="430"/>
      <c r="C50" s="460" t="s">
        <v>179</v>
      </c>
      <c r="D50" s="687" t="s">
        <v>342</v>
      </c>
      <c r="E50" s="563" t="s">
        <v>343</v>
      </c>
      <c r="F50" s="428"/>
      <c r="G50" s="429"/>
      <c r="H50" s="418">
        <f>výdavky!M370</f>
        <v>600</v>
      </c>
      <c r="I50" s="418">
        <f>výdavky!P370</f>
        <v>600</v>
      </c>
      <c r="J50" s="534">
        <f>výdavky!T370</f>
        <v>600</v>
      </c>
      <c r="K50" s="418">
        <f>výdavky!V370</f>
        <v>591.89</v>
      </c>
      <c r="L50" s="419">
        <f t="shared" si="10"/>
        <v>98.64833333333333</v>
      </c>
    </row>
    <row r="51" spans="1:12" ht="12.75">
      <c r="A51" s="357">
        <v>44</v>
      </c>
      <c r="B51" s="374">
        <v>4</v>
      </c>
      <c r="C51" s="486" t="s">
        <v>344</v>
      </c>
      <c r="D51" s="376"/>
      <c r="E51" s="376"/>
      <c r="F51" s="377"/>
      <c r="G51" s="378">
        <f>SUM(G53)</f>
        <v>583.2</v>
      </c>
      <c r="H51" s="380">
        <f>SUM(H52+H57)</f>
        <v>0</v>
      </c>
      <c r="I51" s="380">
        <f>SUM(I52+I57)</f>
        <v>0</v>
      </c>
      <c r="J51" s="526">
        <f>SUM(J52+J57)</f>
        <v>6000</v>
      </c>
      <c r="K51" s="380">
        <f>SUM(K52+K57)</f>
        <v>5197.76</v>
      </c>
      <c r="L51" s="381">
        <f t="shared" si="10"/>
        <v>86.62933333333334</v>
      </c>
    </row>
    <row r="52" spans="1:12" ht="12.75">
      <c r="A52" s="357">
        <f>A51+1</f>
        <v>45</v>
      </c>
      <c r="B52" s="391"/>
      <c r="C52" s="392"/>
      <c r="D52" s="362" t="s">
        <v>154</v>
      </c>
      <c r="E52" s="393"/>
      <c r="F52" s="394"/>
      <c r="G52" s="395">
        <f>G53</f>
        <v>583.2</v>
      </c>
      <c r="H52" s="396">
        <f>H53</f>
        <v>0</v>
      </c>
      <c r="I52" s="396">
        <f>I53</f>
        <v>0</v>
      </c>
      <c r="J52" s="528">
        <f>J53</f>
        <v>6000</v>
      </c>
      <c r="K52" s="396">
        <f>K53</f>
        <v>5197.76</v>
      </c>
      <c r="L52" s="397">
        <f t="shared" si="10"/>
        <v>86.62933333333334</v>
      </c>
    </row>
    <row r="53" spans="1:12" ht="12.75">
      <c r="A53" s="357">
        <f>A52+1</f>
        <v>46</v>
      </c>
      <c r="B53" s="430"/>
      <c r="C53" s="560" t="s">
        <v>328</v>
      </c>
      <c r="D53" s="400" t="s">
        <v>327</v>
      </c>
      <c r="E53" s="401"/>
      <c r="F53" s="402"/>
      <c r="G53" s="441">
        <f>SUM(G54:G56)</f>
        <v>583.2</v>
      </c>
      <c r="H53" s="404">
        <f>SUM(H54:H56)</f>
        <v>0</v>
      </c>
      <c r="I53" s="404">
        <f>SUM(I54:I56)</f>
        <v>0</v>
      </c>
      <c r="J53" s="404">
        <f>SUM(J54:J56)</f>
        <v>6000</v>
      </c>
      <c r="K53" s="404">
        <f>SUM(K54:K56)</f>
        <v>5197.76</v>
      </c>
      <c r="L53" s="405">
        <f t="shared" si="10"/>
        <v>86.62933333333334</v>
      </c>
    </row>
    <row r="54" spans="1:12" ht="12.75">
      <c r="A54" s="357">
        <f>A53+1</f>
        <v>47</v>
      </c>
      <c r="B54" s="430"/>
      <c r="C54" s="462" t="s">
        <v>345</v>
      </c>
      <c r="D54" s="461" t="s">
        <v>190</v>
      </c>
      <c r="E54" s="420" t="s">
        <v>346</v>
      </c>
      <c r="F54" s="428"/>
      <c r="G54" s="675">
        <f>ROUND(K54/30.126,1)</f>
        <v>100.5</v>
      </c>
      <c r="H54" s="480">
        <v>0</v>
      </c>
      <c r="I54" s="480">
        <v>0</v>
      </c>
      <c r="J54" s="534">
        <f>výdavky!T347</f>
        <v>4000</v>
      </c>
      <c r="K54" s="480">
        <f>výdavky!V347+výdavky!V348</f>
        <v>3028.38</v>
      </c>
      <c r="L54" s="419">
        <f t="shared" si="10"/>
        <v>75.7095</v>
      </c>
    </row>
    <row r="55" spans="1:12" ht="12.75">
      <c r="A55" s="357">
        <f>A54+1</f>
        <v>48</v>
      </c>
      <c r="B55" s="430"/>
      <c r="C55" s="462" t="s">
        <v>345</v>
      </c>
      <c r="D55" s="461" t="s">
        <v>192</v>
      </c>
      <c r="E55" s="420" t="s">
        <v>347</v>
      </c>
      <c r="F55" s="428"/>
      <c r="G55" s="675">
        <f>ROUND(K55/30.126,1)</f>
        <v>72</v>
      </c>
      <c r="H55" s="480">
        <v>0</v>
      </c>
      <c r="I55" s="480">
        <v>0</v>
      </c>
      <c r="J55" s="534">
        <f>výdavky!T356</f>
        <v>2000</v>
      </c>
      <c r="K55" s="480">
        <f>výdavky!V356</f>
        <v>2169.38</v>
      </c>
      <c r="L55" s="419">
        <f t="shared" si="10"/>
        <v>108.46900000000002</v>
      </c>
    </row>
    <row r="56" spans="1:12" ht="12.75">
      <c r="A56" s="357">
        <f>A55+1</f>
        <v>49</v>
      </c>
      <c r="B56" s="430"/>
      <c r="C56" s="460"/>
      <c r="D56" s="461"/>
      <c r="E56" s="420"/>
      <c r="F56" s="428"/>
      <c r="G56" s="675">
        <f>397.4+13.3</f>
        <v>410.7</v>
      </c>
      <c r="H56" s="480">
        <v>0</v>
      </c>
      <c r="I56" s="480">
        <v>0</v>
      </c>
      <c r="J56" s="534">
        <v>0</v>
      </c>
      <c r="K56" s="480">
        <v>0</v>
      </c>
      <c r="L56" s="419">
        <v>0</v>
      </c>
    </row>
    <row r="57" spans="1:12" ht="12.75">
      <c r="A57" s="357">
        <v>48</v>
      </c>
      <c r="B57" s="436"/>
      <c r="C57" s="460"/>
      <c r="D57" s="362" t="s">
        <v>156</v>
      </c>
      <c r="E57" s="427"/>
      <c r="F57" s="394"/>
      <c r="G57" s="644">
        <f aca="true" t="shared" si="12" ref="G57:L57">G58</f>
        <v>0</v>
      </c>
      <c r="H57" s="618">
        <f t="shared" si="12"/>
        <v>0</v>
      </c>
      <c r="I57" s="618">
        <f t="shared" si="12"/>
        <v>0</v>
      </c>
      <c r="J57" s="676">
        <f t="shared" si="12"/>
        <v>0</v>
      </c>
      <c r="K57" s="618">
        <f t="shared" si="12"/>
        <v>0</v>
      </c>
      <c r="L57" s="397">
        <f t="shared" si="12"/>
        <v>0</v>
      </c>
    </row>
    <row r="58" spans="1:12" ht="12.75">
      <c r="A58" s="357">
        <f>A57+1</f>
        <v>49</v>
      </c>
      <c r="B58" s="430"/>
      <c r="C58" s="560" t="s">
        <v>340</v>
      </c>
      <c r="D58" s="400" t="s">
        <v>341</v>
      </c>
      <c r="E58" s="401"/>
      <c r="F58" s="402"/>
      <c r="G58" s="441">
        <f aca="true" t="shared" si="13" ref="G58:L58">SUM(G59:G59)</f>
        <v>0</v>
      </c>
      <c r="H58" s="404">
        <f t="shared" si="13"/>
        <v>0</v>
      </c>
      <c r="I58" s="404">
        <f t="shared" si="13"/>
        <v>0</v>
      </c>
      <c r="J58" s="677">
        <f t="shared" si="13"/>
        <v>0</v>
      </c>
      <c r="K58" s="404">
        <f t="shared" si="13"/>
        <v>0</v>
      </c>
      <c r="L58" s="405">
        <f t="shared" si="13"/>
        <v>0</v>
      </c>
    </row>
    <row r="59" spans="1:12" ht="12.75">
      <c r="A59" s="357">
        <f>A58+1</f>
        <v>50</v>
      </c>
      <c r="B59" s="430"/>
      <c r="C59" s="462" t="s">
        <v>269</v>
      </c>
      <c r="D59" s="461" t="s">
        <v>211</v>
      </c>
      <c r="E59" s="420"/>
      <c r="F59" s="428"/>
      <c r="G59" s="429"/>
      <c r="H59" s="418">
        <v>0</v>
      </c>
      <c r="I59" s="418">
        <v>0</v>
      </c>
      <c r="J59" s="534">
        <v>0</v>
      </c>
      <c r="K59" s="418">
        <v>0</v>
      </c>
      <c r="L59" s="419">
        <v>0</v>
      </c>
    </row>
    <row r="60" spans="1:12" ht="12.75">
      <c r="A60" s="357">
        <v>51</v>
      </c>
      <c r="B60" s="374">
        <v>5</v>
      </c>
      <c r="C60" s="486" t="s">
        <v>348</v>
      </c>
      <c r="D60" s="376"/>
      <c r="E60" s="376"/>
      <c r="F60" s="377"/>
      <c r="G60" s="378">
        <f>SUM(G63)</f>
        <v>0</v>
      </c>
      <c r="H60" s="380">
        <f>H62</f>
        <v>0</v>
      </c>
      <c r="I60" s="380">
        <f>I62</f>
        <v>0</v>
      </c>
      <c r="J60" s="526">
        <f>J62</f>
        <v>0</v>
      </c>
      <c r="K60" s="380">
        <f>K62</f>
        <v>0</v>
      </c>
      <c r="L60" s="381">
        <f>L62</f>
        <v>0</v>
      </c>
    </row>
    <row r="61" spans="1:12" ht="12.75">
      <c r="A61" s="357">
        <f aca="true" t="shared" si="14" ref="A61:A69">A60+1</f>
        <v>52</v>
      </c>
      <c r="B61" s="391"/>
      <c r="C61" s="392"/>
      <c r="D61" s="362" t="s">
        <v>154</v>
      </c>
      <c r="E61" s="393"/>
      <c r="F61" s="394"/>
      <c r="G61" s="395">
        <f aca="true" t="shared" si="15" ref="G61:L61">G62</f>
        <v>0</v>
      </c>
      <c r="H61" s="396">
        <f t="shared" si="15"/>
        <v>0</v>
      </c>
      <c r="I61" s="396">
        <f t="shared" si="15"/>
        <v>0</v>
      </c>
      <c r="J61" s="528">
        <f t="shared" si="15"/>
        <v>0</v>
      </c>
      <c r="K61" s="396">
        <f t="shared" si="15"/>
        <v>0</v>
      </c>
      <c r="L61" s="397">
        <f t="shared" si="15"/>
        <v>0</v>
      </c>
    </row>
    <row r="62" spans="1:12" ht="12" customHeight="1">
      <c r="A62" s="357">
        <f t="shared" si="14"/>
        <v>53</v>
      </c>
      <c r="B62" s="436"/>
      <c r="C62" s="560" t="s">
        <v>349</v>
      </c>
      <c r="D62" s="400" t="s">
        <v>350</v>
      </c>
      <c r="E62" s="401"/>
      <c r="F62" s="402"/>
      <c r="G62" s="441">
        <f>SUM(G63:G63)</f>
        <v>0</v>
      </c>
      <c r="H62" s="404">
        <f>SUM(H63:H64)</f>
        <v>0</v>
      </c>
      <c r="I62" s="404">
        <f>SUM(I63:I64)</f>
        <v>0</v>
      </c>
      <c r="J62" s="404">
        <f>SUM(J63:J64)</f>
        <v>0</v>
      </c>
      <c r="K62" s="404">
        <f>SUM(K63:K64)</f>
        <v>0</v>
      </c>
      <c r="L62" s="405">
        <f>SUM(L63:L64)</f>
        <v>0</v>
      </c>
    </row>
    <row r="63" spans="1:12" ht="12.75">
      <c r="A63" s="357">
        <f t="shared" si="14"/>
        <v>54</v>
      </c>
      <c r="B63" s="436"/>
      <c r="C63" s="462" t="s">
        <v>345</v>
      </c>
      <c r="D63" s="461" t="s">
        <v>190</v>
      </c>
      <c r="E63" s="415" t="s">
        <v>351</v>
      </c>
      <c r="F63" s="449"/>
      <c r="G63" s="429">
        <f>ROUND(K63/30.126,1)</f>
        <v>0</v>
      </c>
      <c r="H63" s="418">
        <v>0</v>
      </c>
      <c r="I63" s="418">
        <v>0</v>
      </c>
      <c r="J63" s="534">
        <v>0</v>
      </c>
      <c r="K63" s="418">
        <v>0</v>
      </c>
      <c r="L63" s="419">
        <v>0</v>
      </c>
    </row>
    <row r="64" spans="1:12" ht="12.75">
      <c r="A64" s="357">
        <f t="shared" si="14"/>
        <v>55</v>
      </c>
      <c r="B64" s="430"/>
      <c r="C64" s="462" t="s">
        <v>345</v>
      </c>
      <c r="D64" s="461" t="s">
        <v>192</v>
      </c>
      <c r="E64" s="415" t="s">
        <v>352</v>
      </c>
      <c r="F64" s="449"/>
      <c r="G64" s="429">
        <v>1.8</v>
      </c>
      <c r="H64" s="418">
        <v>0</v>
      </c>
      <c r="I64" s="418">
        <v>0</v>
      </c>
      <c r="J64" s="534">
        <v>0</v>
      </c>
      <c r="K64" s="418">
        <v>0</v>
      </c>
      <c r="L64" s="419">
        <f>'[1]výdavky'!H304</f>
        <v>0</v>
      </c>
    </row>
    <row r="65" spans="1:12" s="319" customFormat="1" ht="12.75">
      <c r="A65" s="357">
        <f t="shared" si="14"/>
        <v>56</v>
      </c>
      <c r="B65" s="481">
        <v>6</v>
      </c>
      <c r="C65" s="482" t="s">
        <v>353</v>
      </c>
      <c r="D65" s="376"/>
      <c r="E65" s="376"/>
      <c r="F65" s="377"/>
      <c r="G65" s="378">
        <f>G67+F70</f>
        <v>85.5</v>
      </c>
      <c r="H65" s="380">
        <f aca="true" t="shared" si="16" ref="H65:K66">H66</f>
        <v>2500</v>
      </c>
      <c r="I65" s="380">
        <f t="shared" si="16"/>
        <v>2500</v>
      </c>
      <c r="J65" s="526">
        <f t="shared" si="16"/>
        <v>2500</v>
      </c>
      <c r="K65" s="380">
        <f t="shared" si="16"/>
        <v>2573.66</v>
      </c>
      <c r="L65" s="381">
        <f>K65/J65*100</f>
        <v>102.9464</v>
      </c>
    </row>
    <row r="66" spans="1:12" ht="12.75">
      <c r="A66" s="357">
        <f t="shared" si="14"/>
        <v>57</v>
      </c>
      <c r="B66" s="483"/>
      <c r="C66" s="473"/>
      <c r="D66" s="361" t="s">
        <v>154</v>
      </c>
      <c r="E66" s="393"/>
      <c r="F66" s="394"/>
      <c r="G66" s="395">
        <f>G67+F70</f>
        <v>85.5</v>
      </c>
      <c r="H66" s="396">
        <f t="shared" si="16"/>
        <v>2500</v>
      </c>
      <c r="I66" s="396">
        <f t="shared" si="16"/>
        <v>2500</v>
      </c>
      <c r="J66" s="528">
        <f t="shared" si="16"/>
        <v>2500</v>
      </c>
      <c r="K66" s="396">
        <f t="shared" si="16"/>
        <v>2573.66</v>
      </c>
      <c r="L66" s="397">
        <f>K66/J66*100</f>
        <v>102.9464</v>
      </c>
    </row>
    <row r="67" spans="1:12" ht="12.75">
      <c r="A67" s="357">
        <f t="shared" si="14"/>
        <v>58</v>
      </c>
      <c r="B67" s="398"/>
      <c r="C67" s="560" t="s">
        <v>349</v>
      </c>
      <c r="D67" s="439" t="s">
        <v>350</v>
      </c>
      <c r="E67" s="401"/>
      <c r="F67" s="402"/>
      <c r="G67" s="441">
        <f>SUM(G68:G69)</f>
        <v>85.5</v>
      </c>
      <c r="H67" s="404">
        <f>SUM(H68:H69)</f>
        <v>2500</v>
      </c>
      <c r="I67" s="404">
        <f>SUM(I68:I69)</f>
        <v>2500</v>
      </c>
      <c r="J67" s="404">
        <f>SUM(J68:J69)</f>
        <v>2500</v>
      </c>
      <c r="K67" s="404">
        <f>SUM(K68:K69)</f>
        <v>2573.66</v>
      </c>
      <c r="L67" s="405">
        <f>K67/J67*100</f>
        <v>102.9464</v>
      </c>
    </row>
    <row r="68" spans="1:12" ht="12.75">
      <c r="A68" s="357">
        <f t="shared" si="14"/>
        <v>59</v>
      </c>
      <c r="B68" s="398"/>
      <c r="C68" s="462" t="s">
        <v>169</v>
      </c>
      <c r="D68" s="461" t="s">
        <v>190</v>
      </c>
      <c r="E68" s="420" t="s">
        <v>319</v>
      </c>
      <c r="F68" s="428"/>
      <c r="G68" s="429">
        <f>ROUND(K68/30.126,1)</f>
        <v>25.3</v>
      </c>
      <c r="H68" s="418">
        <f>výdavky!M375</f>
        <v>2500</v>
      </c>
      <c r="I68" s="418">
        <f>výdavky!P375</f>
        <v>2500</v>
      </c>
      <c r="J68" s="534">
        <f>výdavky!T375</f>
        <v>2500</v>
      </c>
      <c r="K68" s="418">
        <f>výdavky!V375</f>
        <v>761.39</v>
      </c>
      <c r="L68" s="419">
        <f>K68/J68*100</f>
        <v>30.4556</v>
      </c>
    </row>
    <row r="69" spans="1:12" ht="12.75">
      <c r="A69" s="493">
        <f t="shared" si="14"/>
        <v>60</v>
      </c>
      <c r="B69" s="634"/>
      <c r="C69" s="635" t="s">
        <v>175</v>
      </c>
      <c r="D69" s="537" t="s">
        <v>192</v>
      </c>
      <c r="E69" s="636" t="s">
        <v>353</v>
      </c>
      <c r="F69" s="637"/>
      <c r="G69" s="638">
        <f>ROUND(K69/30.126,1)</f>
        <v>60.2</v>
      </c>
      <c r="H69" s="542">
        <v>0</v>
      </c>
      <c r="I69" s="542">
        <v>0</v>
      </c>
      <c r="J69" s="541">
        <v>0</v>
      </c>
      <c r="K69" s="542">
        <f>výdavky!V376</f>
        <v>1812.27</v>
      </c>
      <c r="L69" s="543">
        <v>0</v>
      </c>
    </row>
    <row r="70" spans="1:12" ht="12.75">
      <c r="A70" s="317"/>
      <c r="B70" s="318"/>
      <c r="D70" s="688"/>
      <c r="L70" s="689"/>
    </row>
    <row r="71" spans="1:12" ht="12.75">
      <c r="A71" s="317"/>
      <c r="B71" s="318"/>
      <c r="L71" s="689"/>
    </row>
    <row r="72" spans="1:12" ht="12.75">
      <c r="A72" s="317"/>
      <c r="B72" s="318"/>
      <c r="L72" s="689"/>
    </row>
    <row r="73" spans="1:12" ht="12.75">
      <c r="A73" s="317"/>
      <c r="B73" s="318"/>
      <c r="L73" s="689"/>
    </row>
    <row r="74" spans="1:12" ht="12.75">
      <c r="A74" s="317"/>
      <c r="B74" s="318"/>
      <c r="L74" s="689"/>
    </row>
    <row r="75" spans="1:12" ht="12.75">
      <c r="A75" s="317"/>
      <c r="B75" s="318"/>
      <c r="L75" s="689"/>
    </row>
    <row r="76" spans="1:12" ht="12.75">
      <c r="A76" s="317"/>
      <c r="B76" s="318"/>
      <c r="L76" s="689"/>
    </row>
    <row r="77" spans="1:12" ht="12.75">
      <c r="A77" s="317"/>
      <c r="B77" s="318"/>
      <c r="L77" s="689"/>
    </row>
    <row r="78" spans="1:12" ht="12.75">
      <c r="A78" s="317"/>
      <c r="B78" s="318"/>
      <c r="L78" s="689"/>
    </row>
    <row r="79" spans="1:12" ht="12.75">
      <c r="A79" s="317"/>
      <c r="B79" s="318"/>
      <c r="L79" s="689"/>
    </row>
    <row r="80" spans="1:12" ht="12.75">
      <c r="A80" s="317"/>
      <c r="B80" s="318"/>
      <c r="L80" s="689"/>
    </row>
    <row r="81" spans="1:12" ht="12.75">
      <c r="A81" s="317"/>
      <c r="B81" s="318"/>
      <c r="L81" s="689"/>
    </row>
    <row r="82" spans="1:12" ht="12.75">
      <c r="A82" s="317"/>
      <c r="B82" s="318"/>
      <c r="L82" s="689"/>
    </row>
    <row r="83" spans="1:12" ht="12.75">
      <c r="A83" s="317"/>
      <c r="B83" s="318"/>
      <c r="L83" s="689"/>
    </row>
    <row r="84" spans="1:12" ht="12.75">
      <c r="A84" s="317"/>
      <c r="B84" s="318"/>
      <c r="L84" s="689"/>
    </row>
    <row r="85" spans="1:12" ht="12.75">
      <c r="A85" s="317"/>
      <c r="B85" s="318"/>
      <c r="L85" s="689"/>
    </row>
    <row r="86" spans="1:12" ht="12.75">
      <c r="A86" s="317"/>
      <c r="B86" s="318"/>
      <c r="L86" s="689"/>
    </row>
    <row r="87" spans="1:12" ht="12.75">
      <c r="A87" s="317"/>
      <c r="B87" s="318"/>
      <c r="L87" s="689"/>
    </row>
    <row r="88" spans="1:12" ht="12.75">
      <c r="A88" s="317"/>
      <c r="B88" s="318"/>
      <c r="L88" s="689"/>
    </row>
    <row r="89" spans="1:12" ht="12.75">
      <c r="A89" s="317"/>
      <c r="B89" s="318"/>
      <c r="L89" s="689"/>
    </row>
    <row r="90" spans="1:12" ht="12.75">
      <c r="A90" s="317"/>
      <c r="B90" s="318"/>
      <c r="L90" s="689"/>
    </row>
    <row r="91" spans="1:12" ht="12.75">
      <c r="A91" s="317"/>
      <c r="B91" s="318"/>
      <c r="L91" s="689"/>
    </row>
    <row r="92" spans="1:12" ht="12.75">
      <c r="A92" s="317"/>
      <c r="B92" s="318"/>
      <c r="L92" s="689"/>
    </row>
    <row r="93" spans="1:12" ht="12.75">
      <c r="A93" s="317"/>
      <c r="B93" s="318"/>
      <c r="L93" s="689"/>
    </row>
    <row r="94" spans="1:12" ht="12.75">
      <c r="A94" s="317"/>
      <c r="B94" s="318"/>
      <c r="L94" s="689"/>
    </row>
    <row r="95" spans="1:12" ht="12.75">
      <c r="A95" s="317"/>
      <c r="B95" s="318"/>
      <c r="L95" s="689"/>
    </row>
    <row r="96" spans="1:12" ht="12.75">
      <c r="A96" s="317"/>
      <c r="B96" s="318"/>
      <c r="L96" s="689"/>
    </row>
    <row r="97" spans="1:12" ht="12.75">
      <c r="A97" s="317"/>
      <c r="B97" s="318"/>
      <c r="L97" s="689"/>
    </row>
    <row r="98" spans="1:12" ht="12.75">
      <c r="A98" s="317"/>
      <c r="B98" s="318"/>
      <c r="L98" s="689"/>
    </row>
    <row r="99" spans="1:12" ht="12.75">
      <c r="A99" s="317"/>
      <c r="B99" s="318"/>
      <c r="L99" s="689"/>
    </row>
    <row r="100" spans="1:12" ht="12.75">
      <c r="A100" s="317"/>
      <c r="B100" s="318"/>
      <c r="L100" s="689"/>
    </row>
    <row r="101" spans="1:12" ht="12.75">
      <c r="A101" s="317"/>
      <c r="B101" s="318"/>
      <c r="L101" s="689"/>
    </row>
  </sheetData>
  <mergeCells count="6">
    <mergeCell ref="D48:E48"/>
    <mergeCell ref="D49:E49"/>
    <mergeCell ref="H3:J3"/>
    <mergeCell ref="K3:L3"/>
    <mergeCell ref="D4:F6"/>
    <mergeCell ref="D47:E47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H19" sqref="H19"/>
    </sheetView>
  </sheetViews>
  <sheetFormatPr defaultColWidth="9.00390625" defaultRowHeight="12.75"/>
  <cols>
    <col min="1" max="1" width="3.625" style="316" customWidth="1"/>
    <col min="2" max="2" width="4.125" style="317" customWidth="1"/>
    <col min="3" max="3" width="7.625" style="318" customWidth="1"/>
    <col min="4" max="4" width="3.375" style="318" customWidth="1"/>
    <col min="5" max="5" width="31.375" style="318" customWidth="1"/>
    <col min="6" max="6" width="9.125" style="318" customWidth="1"/>
    <col min="7" max="7" width="0" style="318" hidden="1" customWidth="1"/>
    <col min="8" max="9" width="9.125" style="318" customWidth="1"/>
    <col min="10" max="10" width="10.125" style="318" customWidth="1"/>
    <col min="11" max="11" width="8.375" style="318" customWidth="1"/>
    <col min="12" max="12" width="9.75390625" style="318" customWidth="1"/>
    <col min="13" max="16384" width="9.125" style="318" customWidth="1"/>
  </cols>
  <sheetData>
    <row r="1" spans="2:13" ht="15.75">
      <c r="B1" s="322" t="s">
        <v>354</v>
      </c>
      <c r="E1" s="322" t="s">
        <v>355</v>
      </c>
      <c r="F1" s="320"/>
      <c r="G1" s="504" t="e">
        <f>G2-G7</f>
        <v>#VALUE!</v>
      </c>
      <c r="H1" s="504"/>
      <c r="I1" s="504"/>
      <c r="J1" s="503">
        <f>J2-J7</f>
        <v>0</v>
      </c>
      <c r="K1" s="503">
        <f>K2-K7</f>
        <v>0</v>
      </c>
      <c r="L1" s="503">
        <f>L2-L7</f>
        <v>99.0812105910767</v>
      </c>
      <c r="M1" s="690"/>
    </row>
    <row r="2" spans="2:13" ht="16.5" thickBot="1">
      <c r="B2" s="322"/>
      <c r="F2" s="320"/>
      <c r="G2" s="504" t="e">
        <f>SUM(G8:G10)</f>
        <v>#VALUE!</v>
      </c>
      <c r="H2" s="504"/>
      <c r="I2" s="504"/>
      <c r="J2" s="503">
        <f>SUM(J8:J10)</f>
        <v>1105772.15</v>
      </c>
      <c r="K2" s="503">
        <f>SUM(K8:K10)</f>
        <v>1115931.31</v>
      </c>
      <c r="L2" s="503">
        <f>SUM(L8:L10)</f>
        <v>199.9999495916927</v>
      </c>
      <c r="M2" s="690"/>
    </row>
    <row r="3" spans="1:12" ht="16.5" thickBot="1">
      <c r="A3" s="331"/>
      <c r="B3" s="332"/>
      <c r="C3" s="333"/>
      <c r="D3" s="333"/>
      <c r="E3" s="334"/>
      <c r="F3" s="335"/>
      <c r="G3" s="336" t="s">
        <v>137</v>
      </c>
      <c r="H3" s="1598" t="s">
        <v>138</v>
      </c>
      <c r="I3" s="1599"/>
      <c r="J3" s="1600"/>
      <c r="K3" s="1601" t="s">
        <v>139</v>
      </c>
      <c r="L3" s="1602"/>
    </row>
    <row r="4" spans="1:12" ht="12" customHeight="1" thickBot="1">
      <c r="A4" s="337"/>
      <c r="B4" s="338" t="s">
        <v>140</v>
      </c>
      <c r="C4" s="339" t="s">
        <v>141</v>
      </c>
      <c r="D4" s="1603" t="s">
        <v>142</v>
      </c>
      <c r="E4" s="1603"/>
      <c r="F4" s="1603"/>
      <c r="G4" s="340"/>
      <c r="H4" s="341">
        <v>2012</v>
      </c>
      <c r="I4" s="341" t="s">
        <v>143</v>
      </c>
      <c r="J4" s="341" t="s">
        <v>144</v>
      </c>
      <c r="K4" s="342">
        <v>2012</v>
      </c>
      <c r="L4" s="342" t="s">
        <v>15</v>
      </c>
    </row>
    <row r="5" spans="1:12" ht="12" customHeight="1">
      <c r="A5" s="337"/>
      <c r="B5" s="338" t="s">
        <v>145</v>
      </c>
      <c r="C5" s="339" t="s">
        <v>146</v>
      </c>
      <c r="D5" s="1603"/>
      <c r="E5" s="1603"/>
      <c r="F5" s="1603"/>
      <c r="G5" s="343" t="s">
        <v>147</v>
      </c>
      <c r="H5" s="344" t="s">
        <v>148</v>
      </c>
      <c r="I5" s="344" t="s">
        <v>148</v>
      </c>
      <c r="J5" s="344" t="s">
        <v>148</v>
      </c>
      <c r="K5" s="345" t="s">
        <v>149</v>
      </c>
      <c r="L5" s="345"/>
    </row>
    <row r="6" spans="1:12" ht="12.75">
      <c r="A6" s="337"/>
      <c r="B6" s="338" t="s">
        <v>150</v>
      </c>
      <c r="C6" s="339" t="s">
        <v>151</v>
      </c>
      <c r="D6" s="1603"/>
      <c r="E6" s="1603"/>
      <c r="F6" s="1603"/>
      <c r="G6" s="346">
        <v>1</v>
      </c>
      <c r="H6" s="346">
        <v>1</v>
      </c>
      <c r="I6" s="346">
        <v>2</v>
      </c>
      <c r="J6" s="347">
        <v>3</v>
      </c>
      <c r="K6" s="348">
        <v>4</v>
      </c>
      <c r="L6" s="348">
        <v>5</v>
      </c>
    </row>
    <row r="7" spans="1:12" ht="15">
      <c r="A7" s="691">
        <v>1</v>
      </c>
      <c r="B7" s="692" t="s">
        <v>354</v>
      </c>
      <c r="C7" s="351"/>
      <c r="D7" s="551"/>
      <c r="E7" s="352" t="s">
        <v>355</v>
      </c>
      <c r="F7" s="552"/>
      <c r="G7" s="354" t="e">
        <f>G11+G22+G40+"$#REF!$#REF!+$#REF!$#REF!+$#REF!$#REF!+$#REF!$#REF!+$#REF!$#REF!"</f>
        <v>#N/A</v>
      </c>
      <c r="H7" s="693">
        <f>SUM(H8:H10)</f>
        <v>1003800</v>
      </c>
      <c r="I7" s="693">
        <f>SUM(I8:I10)</f>
        <v>1077800</v>
      </c>
      <c r="J7" s="693">
        <f>SUM(J8:J10)</f>
        <v>1105772.15</v>
      </c>
      <c r="K7" s="1491">
        <f>SUM(K8:K10)</f>
        <v>1115931.31</v>
      </c>
      <c r="L7" s="694">
        <f>K7/J7*100</f>
        <v>100.91873900061601</v>
      </c>
    </row>
    <row r="8" spans="1:12" ht="12.75">
      <c r="A8" s="695">
        <f>A7+1</f>
        <v>2</v>
      </c>
      <c r="B8" s="358" t="s">
        <v>153</v>
      </c>
      <c r="C8" s="359" t="s">
        <v>154</v>
      </c>
      <c r="D8" s="360"/>
      <c r="E8" s="361"/>
      <c r="F8" s="362"/>
      <c r="G8" s="517" t="e">
        <f>G12+"$#REF!$#REF!+$#REF!$#REF!+$#REF!$#REF!+$#REF!$#REF!+$#REF!$#REF!+$#REF!$#REF!+$#REF!$#REF!"</f>
        <v>#VALUE!</v>
      </c>
      <c r="H8" s="519">
        <f>SUM(H12,H23,H41)</f>
        <v>565800</v>
      </c>
      <c r="I8" s="519">
        <f>SUM(I12,I23,I41)</f>
        <v>629800</v>
      </c>
      <c r="J8" s="519">
        <f>SUM(J12,J23,J41)</f>
        <v>669336.15</v>
      </c>
      <c r="K8" s="519">
        <f>SUM(K12,K23,K41)</f>
        <v>679495.42</v>
      </c>
      <c r="L8" s="365">
        <f>K9/J9*100</f>
        <v>99.99997479584636</v>
      </c>
    </row>
    <row r="9" spans="1:12" ht="12.75">
      <c r="A9" s="695">
        <f>A8+1</f>
        <v>3</v>
      </c>
      <c r="B9" s="358" t="s">
        <v>155</v>
      </c>
      <c r="C9" s="359" t="s">
        <v>156</v>
      </c>
      <c r="D9" s="360"/>
      <c r="E9" s="361"/>
      <c r="F9" s="362"/>
      <c r="G9" s="517" t="e">
        <f>G19+"$#REF!$#REF!+$#REF!$#REF!+$#REF!$#REF!+$#REF!$#REF!"</f>
        <v>#N/A</v>
      </c>
      <c r="H9" s="519">
        <f>SUM(H19+H36)</f>
        <v>438000</v>
      </c>
      <c r="I9" s="519">
        <f>SUM(I19+I36)</f>
        <v>448000</v>
      </c>
      <c r="J9" s="519">
        <f>SUM(J19+J36)</f>
        <v>436436</v>
      </c>
      <c r="K9" s="519">
        <f>SUM(K19+K36)</f>
        <v>436435.89</v>
      </c>
      <c r="L9" s="365">
        <f>K9/J9*100</f>
        <v>99.99997479584636</v>
      </c>
    </row>
    <row r="10" spans="1:12" ht="12.75">
      <c r="A10" s="695">
        <f>A9+1</f>
        <v>4</v>
      </c>
      <c r="B10" s="366"/>
      <c r="C10" s="367" t="s">
        <v>157</v>
      </c>
      <c r="D10" s="368"/>
      <c r="E10" s="369"/>
      <c r="F10" s="370"/>
      <c r="G10" s="522">
        <v>0</v>
      </c>
      <c r="H10" s="519">
        <v>0</v>
      </c>
      <c r="I10" s="519">
        <v>0</v>
      </c>
      <c r="J10" s="523">
        <v>0</v>
      </c>
      <c r="K10" s="519">
        <v>0</v>
      </c>
      <c r="L10" s="365">
        <v>0</v>
      </c>
    </row>
    <row r="11" spans="1:12" ht="12.75">
      <c r="A11" s="695">
        <v>5</v>
      </c>
      <c r="B11" s="696">
        <v>1</v>
      </c>
      <c r="C11" s="486" t="s">
        <v>132</v>
      </c>
      <c r="D11" s="376"/>
      <c r="E11" s="376"/>
      <c r="F11" s="377"/>
      <c r="G11" s="378" t="e">
        <f>G13+G20</f>
        <v>#N/A</v>
      </c>
      <c r="H11" s="379">
        <f>SUM(H12+H19)</f>
        <v>106700</v>
      </c>
      <c r="I11" s="379">
        <f>SUM(I12+I19)</f>
        <v>106700</v>
      </c>
      <c r="J11" s="380">
        <f>SUM(J12+J19)</f>
        <v>109217</v>
      </c>
      <c r="K11" s="379">
        <f>SUM(K12+K19)</f>
        <v>115129.29000000001</v>
      </c>
      <c r="L11" s="640">
        <f>K11/J11*100</f>
        <v>105.41334224525487</v>
      </c>
    </row>
    <row r="12" spans="1:12" ht="12.75">
      <c r="A12" s="695">
        <f aca="true" t="shared" si="0" ref="A12:A18">A11+1</f>
        <v>6</v>
      </c>
      <c r="B12" s="697"/>
      <c r="C12" s="392"/>
      <c r="D12" s="362" t="s">
        <v>154</v>
      </c>
      <c r="E12" s="393"/>
      <c r="F12" s="394"/>
      <c r="G12" s="395">
        <f>G13</f>
        <v>3821.6000000000004</v>
      </c>
      <c r="H12" s="396">
        <f>H13</f>
        <v>106700</v>
      </c>
      <c r="I12" s="396">
        <f>I13</f>
        <v>106700</v>
      </c>
      <c r="J12" s="396">
        <f>J13</f>
        <v>109217</v>
      </c>
      <c r="K12" s="396">
        <f>K13</f>
        <v>115129.29000000001</v>
      </c>
      <c r="L12" s="397">
        <f>K12/J12*100</f>
        <v>105.41334224525487</v>
      </c>
    </row>
    <row r="13" spans="1:12" ht="12.75">
      <c r="A13" s="695">
        <f t="shared" si="0"/>
        <v>7</v>
      </c>
      <c r="B13" s="408"/>
      <c r="C13" s="488" t="s">
        <v>356</v>
      </c>
      <c r="D13" s="400" t="s">
        <v>357</v>
      </c>
      <c r="E13" s="401"/>
      <c r="F13" s="402"/>
      <c r="G13" s="454">
        <f>SUM(G14:G18)</f>
        <v>3821.6000000000004</v>
      </c>
      <c r="H13" s="455">
        <f>SUM(H14:H18)</f>
        <v>106700</v>
      </c>
      <c r="I13" s="455">
        <f>I14+I15+I17+I18</f>
        <v>106700</v>
      </c>
      <c r="J13" s="455">
        <f>SUM(J14:J18)</f>
        <v>109217</v>
      </c>
      <c r="K13" s="455">
        <f>SUM(K14:K15)</f>
        <v>115129.29000000001</v>
      </c>
      <c r="L13" s="405">
        <f>K13/J13*100</f>
        <v>105.41334224525487</v>
      </c>
    </row>
    <row r="14" spans="1:12" ht="12.75">
      <c r="A14" s="695">
        <f t="shared" si="0"/>
        <v>8</v>
      </c>
      <c r="B14" s="408"/>
      <c r="C14" s="442" t="s">
        <v>358</v>
      </c>
      <c r="D14" s="461" t="s">
        <v>190</v>
      </c>
      <c r="E14" s="420" t="s">
        <v>359</v>
      </c>
      <c r="F14" s="428"/>
      <c r="G14" s="429">
        <f>ROUND(K14/30.126,1)</f>
        <v>2428.3</v>
      </c>
      <c r="H14" s="418">
        <f>výdavky!M385+výdavky!M390</f>
        <v>71000</v>
      </c>
      <c r="I14" s="418">
        <f>výdavky!P385+výdavky!P390</f>
        <v>71000</v>
      </c>
      <c r="J14" s="534">
        <f>výdavky!T385+výdavky!T390</f>
        <v>71000</v>
      </c>
      <c r="K14" s="418">
        <f>výdavky!V385</f>
        <v>73154.69</v>
      </c>
      <c r="L14" s="419">
        <f>K14/J14*100</f>
        <v>103.03477464788733</v>
      </c>
    </row>
    <row r="15" spans="1:12" ht="12.75">
      <c r="A15" s="695">
        <f t="shared" si="0"/>
        <v>9</v>
      </c>
      <c r="B15" s="408"/>
      <c r="C15" s="442" t="s">
        <v>360</v>
      </c>
      <c r="D15" s="461" t="s">
        <v>192</v>
      </c>
      <c r="E15" s="420" t="s">
        <v>337</v>
      </c>
      <c r="F15" s="428"/>
      <c r="G15" s="429">
        <f>ROUND(K15/30.126,1)</f>
        <v>1393.3</v>
      </c>
      <c r="H15" s="418">
        <f>výdavky!M386+výdavky!M391</f>
        <v>33000</v>
      </c>
      <c r="I15" s="418">
        <f>výdavky!P386+výdavky!P391</f>
        <v>33000</v>
      </c>
      <c r="J15" s="534">
        <f>výdavky!T386+výdavky!T387+výdavky!T391</f>
        <v>33400</v>
      </c>
      <c r="K15" s="418">
        <f>výdavky!V386+výdavky!V387</f>
        <v>41974.6</v>
      </c>
      <c r="L15" s="419">
        <f>K15/J15*100</f>
        <v>125.67245508982035</v>
      </c>
    </row>
    <row r="16" spans="1:12" ht="12.75">
      <c r="A16" s="695">
        <f t="shared" si="0"/>
        <v>10</v>
      </c>
      <c r="B16" s="408"/>
      <c r="C16" s="442" t="s">
        <v>171</v>
      </c>
      <c r="D16" s="461" t="s">
        <v>203</v>
      </c>
      <c r="E16" s="420" t="s">
        <v>361</v>
      </c>
      <c r="F16" s="428"/>
      <c r="G16" s="429">
        <f>ROUND(K16/30.126,1)</f>
        <v>0</v>
      </c>
      <c r="H16" s="418">
        <v>0</v>
      </c>
      <c r="I16" s="418">
        <v>0</v>
      </c>
      <c r="J16" s="534">
        <v>0</v>
      </c>
      <c r="K16" s="418">
        <v>0</v>
      </c>
      <c r="L16" s="419">
        <v>0</v>
      </c>
    </row>
    <row r="17" spans="1:12" ht="12.75">
      <c r="A17" s="695">
        <f t="shared" si="0"/>
        <v>11</v>
      </c>
      <c r="B17" s="408"/>
      <c r="C17" s="442" t="s">
        <v>345</v>
      </c>
      <c r="D17" s="461" t="s">
        <v>205</v>
      </c>
      <c r="E17" s="698" t="s">
        <v>362</v>
      </c>
      <c r="F17" s="699"/>
      <c r="G17" s="700"/>
      <c r="H17" s="701">
        <f>výdavky!M388</f>
        <v>200</v>
      </c>
      <c r="I17" s="701">
        <f>výdavky!P388</f>
        <v>200</v>
      </c>
      <c r="J17" s="702">
        <f>výdavky!T388</f>
        <v>200</v>
      </c>
      <c r="K17" s="701">
        <f>výdavky!V388</f>
        <v>166</v>
      </c>
      <c r="L17" s="703">
        <f>K17/J17*100</f>
        <v>83</v>
      </c>
    </row>
    <row r="18" spans="1:12" ht="12.75">
      <c r="A18" s="695">
        <f t="shared" si="0"/>
        <v>12</v>
      </c>
      <c r="B18" s="408"/>
      <c r="C18" s="442" t="s">
        <v>345</v>
      </c>
      <c r="D18" s="461" t="s">
        <v>207</v>
      </c>
      <c r="E18" s="698" t="s">
        <v>363</v>
      </c>
      <c r="F18" s="699"/>
      <c r="G18" s="700"/>
      <c r="H18" s="701">
        <f>výdavky!M389</f>
        <v>2500</v>
      </c>
      <c r="I18" s="701">
        <f>výdavky!P389</f>
        <v>2500</v>
      </c>
      <c r="J18" s="702">
        <f>výdavky!T389</f>
        <v>4617</v>
      </c>
      <c r="K18" s="701">
        <f>výdavky!V389</f>
        <v>4617</v>
      </c>
      <c r="L18" s="703">
        <f>K18/J18*100</f>
        <v>100</v>
      </c>
    </row>
    <row r="19" spans="1:12" ht="12.75">
      <c r="A19" s="695">
        <v>13</v>
      </c>
      <c r="B19" s="408"/>
      <c r="C19" s="460"/>
      <c r="D19" s="362" t="s">
        <v>156</v>
      </c>
      <c r="E19" s="427"/>
      <c r="F19" s="394"/>
      <c r="G19" s="395" t="e">
        <f aca="true" t="shared" si="1" ref="G19:L19">G20</f>
        <v>#N/A</v>
      </c>
      <c r="H19" s="396">
        <f t="shared" si="1"/>
        <v>0</v>
      </c>
      <c r="I19" s="396">
        <f t="shared" si="1"/>
        <v>0</v>
      </c>
      <c r="J19" s="396">
        <f t="shared" si="1"/>
        <v>0</v>
      </c>
      <c r="K19" s="396">
        <f t="shared" si="1"/>
        <v>0</v>
      </c>
      <c r="L19" s="397">
        <f t="shared" si="1"/>
        <v>0</v>
      </c>
    </row>
    <row r="20" spans="1:12" s="437" customFormat="1" ht="12.75">
      <c r="A20" s="695">
        <f>A19+1</f>
        <v>14</v>
      </c>
      <c r="B20" s="408"/>
      <c r="C20" s="488" t="s">
        <v>356</v>
      </c>
      <c r="D20" s="400" t="s">
        <v>357</v>
      </c>
      <c r="E20" s="401"/>
      <c r="F20" s="402"/>
      <c r="G20" s="454" t="e">
        <f>NA()</f>
        <v>#N/A</v>
      </c>
      <c r="H20" s="455">
        <f>SUM(H21:H21)</f>
        <v>0</v>
      </c>
      <c r="I20" s="455">
        <f>SUM(I21:I21)</f>
        <v>0</v>
      </c>
      <c r="J20" s="455">
        <f>SUM(J21:J21)</f>
        <v>0</v>
      </c>
      <c r="K20" s="455">
        <f>SUM(K21:K21)</f>
        <v>0</v>
      </c>
      <c r="L20" s="405">
        <f>SUM(L21:L21)</f>
        <v>0</v>
      </c>
    </row>
    <row r="21" spans="1:12" s="437" customFormat="1" ht="12.75">
      <c r="A21" s="695">
        <f>A20+1</f>
        <v>15</v>
      </c>
      <c r="B21" s="443"/>
      <c r="C21" s="704" t="s">
        <v>269</v>
      </c>
      <c r="D21" s="461" t="s">
        <v>211</v>
      </c>
      <c r="E21" s="448" t="s">
        <v>364</v>
      </c>
      <c r="F21" s="670"/>
      <c r="G21" s="671"/>
      <c r="H21" s="453">
        <v>0</v>
      </c>
      <c r="I21" s="453">
        <v>0</v>
      </c>
      <c r="J21" s="672">
        <v>0</v>
      </c>
      <c r="K21" s="453">
        <v>0</v>
      </c>
      <c r="L21" s="419">
        <f>'[1]výdavky'!H415</f>
        <v>0</v>
      </c>
    </row>
    <row r="22" spans="1:12" ht="12.75">
      <c r="A22" s="695">
        <v>16</v>
      </c>
      <c r="B22" s="696">
        <v>2</v>
      </c>
      <c r="C22" s="486" t="s">
        <v>130</v>
      </c>
      <c r="D22" s="376"/>
      <c r="E22" s="376"/>
      <c r="F22" s="377"/>
      <c r="G22" s="378" t="str">
        <f>"$#REF!$#REF!+$#REF!$#REF!+$#REF!$#REF!+$#REF!$#REF!+$#REF!$#REF!+$#REF!$#REF!+$#REF!$#REF!+$#REF!$#REF!"</f>
        <v>$#REF!$#REF!+$#REF!$#REF!+$#REF!$#REF!+$#REF!$#REF!+$#REF!$#REF!+$#REF!$#REF!+$#REF!$#REF!+$#REF!$#REF!</v>
      </c>
      <c r="H22" s="380">
        <f>H23+H36</f>
        <v>840300</v>
      </c>
      <c r="I22" s="380">
        <f>I23+I36</f>
        <v>914300</v>
      </c>
      <c r="J22" s="380">
        <f>J23+J36</f>
        <v>934555.15</v>
      </c>
      <c r="K22" s="380">
        <f>K23+K36</f>
        <v>937726.48</v>
      </c>
      <c r="L22" s="381">
        <f aca="true" t="shared" si="2" ref="L22:L38">K22/J22*100</f>
        <v>100.33934112930626</v>
      </c>
    </row>
    <row r="23" spans="1:12" ht="12.75">
      <c r="A23" s="695">
        <f>A22+1</f>
        <v>17</v>
      </c>
      <c r="B23" s="705"/>
      <c r="C23" s="706"/>
      <c r="D23" s="361" t="s">
        <v>154</v>
      </c>
      <c r="E23" s="393"/>
      <c r="F23" s="394"/>
      <c r="G23" s="395">
        <f>G34</f>
        <v>0</v>
      </c>
      <c r="H23" s="396">
        <f>SUM(H24)</f>
        <v>402300</v>
      </c>
      <c r="I23" s="396">
        <f>SUM(I24)</f>
        <v>466300</v>
      </c>
      <c r="J23" s="609">
        <f>SUM(J24)</f>
        <v>498119.15</v>
      </c>
      <c r="K23" s="396">
        <f>SUM(K24)</f>
        <v>501290.58999999997</v>
      </c>
      <c r="L23" s="397">
        <f t="shared" si="2"/>
        <v>100.63668301048052</v>
      </c>
    </row>
    <row r="24" spans="1:12" ht="12.75">
      <c r="A24" s="695"/>
      <c r="B24" s="705"/>
      <c r="C24" s="488" t="s">
        <v>365</v>
      </c>
      <c r="D24" s="400" t="s">
        <v>366</v>
      </c>
      <c r="E24" s="401"/>
      <c r="F24" s="402"/>
      <c r="G24" s="454">
        <f>G25</f>
        <v>0</v>
      </c>
      <c r="H24" s="455">
        <f>SUM(H25,H26,H27,H28,H29,H30,H31,H32,H33,H34,H35)</f>
        <v>402300</v>
      </c>
      <c r="I24" s="455">
        <f>SUM(I25,I26,I27,I28,I29,I30,I31,I32,I33,I34,I35)</f>
        <v>466300</v>
      </c>
      <c r="J24" s="455">
        <f>SUM(J25,J26,J27,J28,J29,J30,J31,J32,J33,J34,J35)</f>
        <v>498119.15</v>
      </c>
      <c r="K24" s="455">
        <f>K25+K26+K27</f>
        <v>501290.58999999997</v>
      </c>
      <c r="L24" s="405">
        <f t="shared" si="2"/>
        <v>100.63668301048052</v>
      </c>
    </row>
    <row r="25" spans="1:12" ht="12.75">
      <c r="A25" s="695">
        <f>A23+1</f>
        <v>18</v>
      </c>
      <c r="B25" s="705"/>
      <c r="C25" s="460" t="s">
        <v>358</v>
      </c>
      <c r="D25" s="574">
        <v>1</v>
      </c>
      <c r="E25" s="707" t="s">
        <v>359</v>
      </c>
      <c r="F25" s="708"/>
      <c r="G25" s="709"/>
      <c r="H25" s="710">
        <f>výdavky!M394</f>
        <v>322000</v>
      </c>
      <c r="I25" s="710">
        <f>výdavky!P394</f>
        <v>353000</v>
      </c>
      <c r="J25" s="710">
        <f>výdavky!T394</f>
        <v>355559</v>
      </c>
      <c r="K25" s="710">
        <f>výdavky!V394+výdavky!V406+výdavky!V407</f>
        <v>419726.58999999997</v>
      </c>
      <c r="L25" s="711">
        <f t="shared" si="2"/>
        <v>118.04695985757635</v>
      </c>
    </row>
    <row r="26" spans="1:12" ht="12.75">
      <c r="A26" s="695"/>
      <c r="B26" s="705"/>
      <c r="C26" s="460" t="s">
        <v>360</v>
      </c>
      <c r="D26" s="574">
        <v>2</v>
      </c>
      <c r="E26" s="707" t="s">
        <v>337</v>
      </c>
      <c r="F26" s="712"/>
      <c r="G26" s="713"/>
      <c r="H26" s="710">
        <f>výdavky!M395</f>
        <v>42000</v>
      </c>
      <c r="I26" s="710">
        <f>výdavky!P395</f>
        <v>48000</v>
      </c>
      <c r="J26" s="710">
        <f>výdavky!T395</f>
        <v>48000</v>
      </c>
      <c r="K26" s="710">
        <f>výdavky!V395</f>
        <v>62745.13</v>
      </c>
      <c r="L26" s="711">
        <f t="shared" si="2"/>
        <v>130.71902083333333</v>
      </c>
    </row>
    <row r="27" spans="1:12" ht="12.75">
      <c r="A27" s="695"/>
      <c r="B27" s="705"/>
      <c r="C27" s="460" t="s">
        <v>201</v>
      </c>
      <c r="D27" s="574">
        <v>3</v>
      </c>
      <c r="E27" s="563" t="s">
        <v>367</v>
      </c>
      <c r="F27" s="714"/>
      <c r="G27" s="715"/>
      <c r="H27" s="716">
        <v>0</v>
      </c>
      <c r="I27" s="716">
        <v>0</v>
      </c>
      <c r="J27" s="716">
        <f>výdavky!T396</f>
        <v>17200</v>
      </c>
      <c r="K27" s="716">
        <f>výdavky!V396</f>
        <v>18818.87</v>
      </c>
      <c r="L27" s="717">
        <f t="shared" si="2"/>
        <v>109.41203488372093</v>
      </c>
    </row>
    <row r="28" spans="1:12" ht="12.75">
      <c r="A28" s="695"/>
      <c r="B28" s="705"/>
      <c r="C28" s="460" t="s">
        <v>345</v>
      </c>
      <c r="D28" s="574">
        <v>4</v>
      </c>
      <c r="E28" s="563" t="s">
        <v>368</v>
      </c>
      <c r="F28" s="714"/>
      <c r="G28" s="715"/>
      <c r="H28" s="716">
        <f>výdavky!M397</f>
        <v>18000</v>
      </c>
      <c r="I28" s="716">
        <f>výdavky!P397</f>
        <v>24000</v>
      </c>
      <c r="J28" s="716">
        <f>výdavky!T397</f>
        <v>24000</v>
      </c>
      <c r="K28" s="718">
        <f>výdavky!V397</f>
        <v>25275.5</v>
      </c>
      <c r="L28" s="717">
        <f t="shared" si="2"/>
        <v>105.31458333333332</v>
      </c>
    </row>
    <row r="29" spans="1:12" ht="12.75">
      <c r="A29" s="695"/>
      <c r="B29" s="705"/>
      <c r="C29" s="460" t="s">
        <v>345</v>
      </c>
      <c r="D29" s="574">
        <v>5</v>
      </c>
      <c r="E29" s="707" t="s">
        <v>369</v>
      </c>
      <c r="F29" s="712"/>
      <c r="G29" s="713"/>
      <c r="H29" s="710">
        <v>0</v>
      </c>
      <c r="I29" s="710">
        <f>výdavky!P398</f>
        <v>21000</v>
      </c>
      <c r="J29" s="710">
        <f>výdavky!T398</f>
        <v>21573.52</v>
      </c>
      <c r="K29" s="719">
        <f>výdavky!V398</f>
        <v>21573.52</v>
      </c>
      <c r="L29" s="711">
        <f t="shared" si="2"/>
        <v>100</v>
      </c>
    </row>
    <row r="30" spans="1:12" ht="12.75">
      <c r="A30" s="695"/>
      <c r="B30" s="705"/>
      <c r="C30" s="460" t="s">
        <v>345</v>
      </c>
      <c r="D30" s="574">
        <v>6</v>
      </c>
      <c r="E30" s="707" t="s">
        <v>370</v>
      </c>
      <c r="F30" s="712"/>
      <c r="G30" s="713"/>
      <c r="H30" s="710">
        <f>výdavky!M400</f>
        <v>3500</v>
      </c>
      <c r="I30" s="710">
        <f>výdavky!P400</f>
        <v>3500</v>
      </c>
      <c r="J30" s="710">
        <f>výdavky!T400</f>
        <v>3394</v>
      </c>
      <c r="K30" s="719">
        <f>výdavky!V400</f>
        <v>3394</v>
      </c>
      <c r="L30" s="711">
        <f t="shared" si="2"/>
        <v>100</v>
      </c>
    </row>
    <row r="31" spans="1:12" ht="12.75">
      <c r="A31" s="695"/>
      <c r="B31" s="705"/>
      <c r="C31" s="460" t="s">
        <v>345</v>
      </c>
      <c r="D31" s="574">
        <v>7</v>
      </c>
      <c r="E31" s="707" t="s">
        <v>371</v>
      </c>
      <c r="F31" s="712"/>
      <c r="G31" s="713"/>
      <c r="H31" s="710">
        <f>výdavky!M401</f>
        <v>6000</v>
      </c>
      <c r="I31" s="710">
        <f>výdavky!P401</f>
        <v>6000</v>
      </c>
      <c r="J31" s="710">
        <f>výdavky!T401</f>
        <v>8033</v>
      </c>
      <c r="K31" s="719">
        <f>výdavky!V401</f>
        <v>8033</v>
      </c>
      <c r="L31" s="711">
        <f t="shared" si="2"/>
        <v>100</v>
      </c>
    </row>
    <row r="32" spans="1:12" ht="12.75">
      <c r="A32" s="695"/>
      <c r="B32" s="705"/>
      <c r="C32" s="460" t="s">
        <v>345</v>
      </c>
      <c r="D32" s="574">
        <v>8</v>
      </c>
      <c r="E32" s="707" t="s">
        <v>372</v>
      </c>
      <c r="F32" s="712"/>
      <c r="G32" s="713"/>
      <c r="H32" s="710">
        <f>výdavky!M402</f>
        <v>2800</v>
      </c>
      <c r="I32" s="710">
        <f>výdavky!P402</f>
        <v>2800</v>
      </c>
      <c r="J32" s="710">
        <f>výdavky!T402</f>
        <v>2800</v>
      </c>
      <c r="K32" s="719">
        <f>výdavky!V402</f>
        <v>2788.8</v>
      </c>
      <c r="L32" s="711">
        <f t="shared" si="2"/>
        <v>99.60000000000001</v>
      </c>
    </row>
    <row r="33" spans="1:12" ht="12.75">
      <c r="A33" s="695"/>
      <c r="B33" s="705"/>
      <c r="C33" s="442" t="s">
        <v>345</v>
      </c>
      <c r="D33" s="461" t="s">
        <v>245</v>
      </c>
      <c r="E33" s="707" t="s">
        <v>373</v>
      </c>
      <c r="F33" s="699"/>
      <c r="G33" s="700"/>
      <c r="H33" s="710">
        <f>výdavky!M403</f>
        <v>8000</v>
      </c>
      <c r="I33" s="710">
        <f>výdavky!P403</f>
        <v>8000</v>
      </c>
      <c r="J33" s="710">
        <f>výdavky!T403</f>
        <v>7813</v>
      </c>
      <c r="K33" s="719">
        <f>výdavky!V403</f>
        <v>7813</v>
      </c>
      <c r="L33" s="711">
        <f t="shared" si="2"/>
        <v>100</v>
      </c>
    </row>
    <row r="34" spans="1:12" ht="12.75">
      <c r="A34" s="695">
        <f>A25+1</f>
        <v>19</v>
      </c>
      <c r="B34" s="705"/>
      <c r="C34" s="442" t="s">
        <v>345</v>
      </c>
      <c r="D34" s="461" t="s">
        <v>332</v>
      </c>
      <c r="E34" s="707" t="s">
        <v>374</v>
      </c>
      <c r="F34" s="699"/>
      <c r="G34" s="700"/>
      <c r="H34" s="710">
        <v>0</v>
      </c>
      <c r="I34" s="710">
        <v>0</v>
      </c>
      <c r="J34" s="710">
        <f>výdavky!T404+výdavky!T405</f>
        <v>5756.26</v>
      </c>
      <c r="K34" s="719">
        <f>výdavky!V404+výdavky!V405+výdavky!V406+výdavky!V407</f>
        <v>5756.259999999999</v>
      </c>
      <c r="L34" s="711">
        <f t="shared" si="2"/>
        <v>99.99999999999999</v>
      </c>
    </row>
    <row r="35" spans="1:12" ht="12.75">
      <c r="A35" s="695"/>
      <c r="B35" s="705"/>
      <c r="C35" s="460" t="s">
        <v>345</v>
      </c>
      <c r="D35" s="461" t="s">
        <v>336</v>
      </c>
      <c r="E35" s="698" t="s">
        <v>375</v>
      </c>
      <c r="F35" s="720"/>
      <c r="G35" s="721"/>
      <c r="H35" s="722">
        <v>0</v>
      </c>
      <c r="I35" s="722">
        <v>0</v>
      </c>
      <c r="J35" s="722">
        <f>výdavky!T408</f>
        <v>3990.37</v>
      </c>
      <c r="K35" s="723">
        <f>výdavky!V408</f>
        <v>3990.37</v>
      </c>
      <c r="L35" s="724">
        <f t="shared" si="2"/>
        <v>100</v>
      </c>
    </row>
    <row r="36" spans="1:12" ht="12.75">
      <c r="A36" s="695">
        <f>A34+1</f>
        <v>20</v>
      </c>
      <c r="B36" s="408"/>
      <c r="C36" s="460"/>
      <c r="D36" s="361" t="s">
        <v>156</v>
      </c>
      <c r="E36" s="427"/>
      <c r="F36" s="394"/>
      <c r="G36" s="395">
        <f aca="true" t="shared" si="3" ref="G36:K37">G37</f>
        <v>0</v>
      </c>
      <c r="H36" s="396">
        <f t="shared" si="3"/>
        <v>438000</v>
      </c>
      <c r="I36" s="396">
        <f t="shared" si="3"/>
        <v>448000</v>
      </c>
      <c r="J36" s="396">
        <f t="shared" si="3"/>
        <v>436436</v>
      </c>
      <c r="K36" s="396">
        <f t="shared" si="3"/>
        <v>436435.89</v>
      </c>
      <c r="L36" s="397">
        <f t="shared" si="2"/>
        <v>99.99997479584636</v>
      </c>
    </row>
    <row r="37" spans="1:12" ht="12.75">
      <c r="A37" s="695">
        <f aca="true" t="shared" si="4" ref="A37:A50">A36+1</f>
        <v>21</v>
      </c>
      <c r="B37" s="408"/>
      <c r="C37" s="488" t="s">
        <v>365</v>
      </c>
      <c r="D37" s="400" t="s">
        <v>366</v>
      </c>
      <c r="E37" s="401"/>
      <c r="F37" s="402"/>
      <c r="G37" s="454">
        <f t="shared" si="3"/>
        <v>0</v>
      </c>
      <c r="H37" s="455">
        <f t="shared" si="3"/>
        <v>438000</v>
      </c>
      <c r="I37" s="455">
        <f t="shared" si="3"/>
        <v>448000</v>
      </c>
      <c r="J37" s="455">
        <f t="shared" si="3"/>
        <v>436436</v>
      </c>
      <c r="K37" s="455">
        <f t="shared" si="3"/>
        <v>436435.89</v>
      </c>
      <c r="L37" s="405">
        <f t="shared" si="2"/>
        <v>99.99997479584636</v>
      </c>
    </row>
    <row r="38" spans="1:12" ht="12.75">
      <c r="A38" s="695">
        <f t="shared" si="4"/>
        <v>22</v>
      </c>
      <c r="B38" s="443"/>
      <c r="C38" s="442" t="s">
        <v>269</v>
      </c>
      <c r="D38" s="456" t="s">
        <v>203</v>
      </c>
      <c r="E38" s="485" t="s">
        <v>376</v>
      </c>
      <c r="F38" s="725"/>
      <c r="G38" s="726"/>
      <c r="H38" s="412">
        <f>výdavky!M543</f>
        <v>438000</v>
      </c>
      <c r="I38" s="412">
        <f>výdavky!P543</f>
        <v>448000</v>
      </c>
      <c r="J38" s="674">
        <f>výdavky!T543</f>
        <v>436436</v>
      </c>
      <c r="K38" s="412">
        <f>výdavky!V543</f>
        <v>436435.89</v>
      </c>
      <c r="L38" s="413">
        <f t="shared" si="2"/>
        <v>99.99997479584636</v>
      </c>
    </row>
    <row r="39" spans="1:12" ht="12.75">
      <c r="A39" s="695">
        <f t="shared" si="4"/>
        <v>23</v>
      </c>
      <c r="B39" s="443"/>
      <c r="C39" s="462" t="s">
        <v>269</v>
      </c>
      <c r="D39" s="461" t="s">
        <v>205</v>
      </c>
      <c r="E39" s="415"/>
      <c r="F39" s="449"/>
      <c r="G39" s="429"/>
      <c r="H39" s="418">
        <v>0</v>
      </c>
      <c r="I39" s="418">
        <v>0</v>
      </c>
      <c r="J39" s="534">
        <v>0</v>
      </c>
      <c r="K39" s="418">
        <v>0</v>
      </c>
      <c r="L39" s="419">
        <v>0</v>
      </c>
    </row>
    <row r="40" spans="1:12" ht="12.75">
      <c r="A40" s="695">
        <f t="shared" si="4"/>
        <v>24</v>
      </c>
      <c r="B40" s="696">
        <v>3</v>
      </c>
      <c r="C40" s="486" t="s">
        <v>377</v>
      </c>
      <c r="D40" s="376"/>
      <c r="E40" s="376"/>
      <c r="F40" s="377"/>
      <c r="G40" s="378" t="str">
        <f>"$#REF!$#REF!+$#REF!$#REF!"</f>
        <v>$#REF!$#REF!+$#REF!$#REF!</v>
      </c>
      <c r="H40" s="380">
        <f aca="true" t="shared" si="5" ref="H40:K41">H41</f>
        <v>56800</v>
      </c>
      <c r="I40" s="380">
        <f t="shared" si="5"/>
        <v>56800</v>
      </c>
      <c r="J40" s="380">
        <f t="shared" si="5"/>
        <v>62000</v>
      </c>
      <c r="K40" s="380">
        <f t="shared" si="5"/>
        <v>63075.54</v>
      </c>
      <c r="L40" s="381">
        <f aca="true" t="shared" si="6" ref="L40:L50">K40/J40*100</f>
        <v>101.73474193548387</v>
      </c>
    </row>
    <row r="41" spans="1:12" ht="12.75">
      <c r="A41" s="695">
        <f t="shared" si="4"/>
        <v>25</v>
      </c>
      <c r="B41" s="697"/>
      <c r="C41" s="392"/>
      <c r="D41" s="362" t="s">
        <v>154</v>
      </c>
      <c r="E41" s="393"/>
      <c r="F41" s="394"/>
      <c r="G41" s="395">
        <f>G42</f>
        <v>948.5000000000001</v>
      </c>
      <c r="H41" s="396">
        <f t="shared" si="5"/>
        <v>56800</v>
      </c>
      <c r="I41" s="396">
        <f t="shared" si="5"/>
        <v>56800</v>
      </c>
      <c r="J41" s="396">
        <f t="shared" si="5"/>
        <v>62000</v>
      </c>
      <c r="K41" s="396">
        <f t="shared" si="5"/>
        <v>63075.54</v>
      </c>
      <c r="L41" s="397">
        <f t="shared" si="6"/>
        <v>101.73474193548387</v>
      </c>
    </row>
    <row r="42" spans="1:12" ht="12.75">
      <c r="A42" s="695">
        <f t="shared" si="4"/>
        <v>26</v>
      </c>
      <c r="B42" s="408"/>
      <c r="C42" s="488" t="s">
        <v>378</v>
      </c>
      <c r="D42" s="400" t="s">
        <v>379</v>
      </c>
      <c r="E42" s="401"/>
      <c r="F42" s="402"/>
      <c r="G42" s="454">
        <f>SUM(G43:G50)</f>
        <v>948.5000000000001</v>
      </c>
      <c r="H42" s="455">
        <f>SUM(H43:H50)</f>
        <v>56800</v>
      </c>
      <c r="I42" s="455">
        <f>SUM(I43:I50)</f>
        <v>56800</v>
      </c>
      <c r="J42" s="455">
        <f>SUM(J43:J50)</f>
        <v>62000</v>
      </c>
      <c r="K42" s="455">
        <f>SUM(K43:K50)</f>
        <v>63075.54</v>
      </c>
      <c r="L42" s="405">
        <f t="shared" si="6"/>
        <v>101.73474193548387</v>
      </c>
    </row>
    <row r="43" spans="1:12" ht="12.75">
      <c r="A43" s="695">
        <f t="shared" si="4"/>
        <v>27</v>
      </c>
      <c r="B43" s="408"/>
      <c r="C43" s="442" t="s">
        <v>163</v>
      </c>
      <c r="D43" s="461" t="s">
        <v>190</v>
      </c>
      <c r="E43" s="420" t="s">
        <v>219</v>
      </c>
      <c r="F43" s="428"/>
      <c r="G43" s="429">
        <f>ROUND(K43/30.126,1)</f>
        <v>678.2</v>
      </c>
      <c r="H43" s="418">
        <f>výdavky!M410</f>
        <v>18000</v>
      </c>
      <c r="I43" s="418">
        <f>výdavky!P410</f>
        <v>18000</v>
      </c>
      <c r="J43" s="418">
        <f>výdavky!T410</f>
        <v>21400</v>
      </c>
      <c r="K43" s="418">
        <f>výdavky!V410</f>
        <v>20430.87</v>
      </c>
      <c r="L43" s="419">
        <f t="shared" si="6"/>
        <v>95.47135514018692</v>
      </c>
    </row>
    <row r="44" spans="1:12" ht="12.75">
      <c r="A44" s="695">
        <f t="shared" si="4"/>
        <v>28</v>
      </c>
      <c r="B44" s="408"/>
      <c r="C44" s="442" t="s">
        <v>165</v>
      </c>
      <c r="D44" s="461" t="s">
        <v>192</v>
      </c>
      <c r="E44" s="420" t="s">
        <v>380</v>
      </c>
      <c r="F44" s="428"/>
      <c r="G44" s="429">
        <f>ROUND(K44/30.126,1)</f>
        <v>250.6</v>
      </c>
      <c r="H44" s="418">
        <f>výdavky!M411</f>
        <v>6000</v>
      </c>
      <c r="I44" s="418">
        <f>výdavky!P411</f>
        <v>6000</v>
      </c>
      <c r="J44" s="418">
        <f>výdavky!T411</f>
        <v>7850</v>
      </c>
      <c r="K44" s="418">
        <f>výdavky!V411</f>
        <v>7549.23</v>
      </c>
      <c r="L44" s="419">
        <f t="shared" si="6"/>
        <v>96.16853503184713</v>
      </c>
    </row>
    <row r="45" spans="1:12" ht="12.75">
      <c r="A45" s="695">
        <f t="shared" si="4"/>
        <v>29</v>
      </c>
      <c r="B45" s="408"/>
      <c r="C45" s="442" t="s">
        <v>169</v>
      </c>
      <c r="D45" s="461" t="s">
        <v>203</v>
      </c>
      <c r="E45" s="420" t="s">
        <v>319</v>
      </c>
      <c r="F45" s="428"/>
      <c r="G45" s="429"/>
      <c r="H45" s="418">
        <f>výdavky!M413</f>
        <v>10000</v>
      </c>
      <c r="I45" s="418">
        <f>výdavky!P413</f>
        <v>10000</v>
      </c>
      <c r="J45" s="534">
        <f>výdavky!T413</f>
        <v>7500</v>
      </c>
      <c r="K45" s="418">
        <f>výdavky!V413</f>
        <v>6369.17</v>
      </c>
      <c r="L45" s="419">
        <f t="shared" si="6"/>
        <v>84.92226666666667</v>
      </c>
    </row>
    <row r="46" spans="1:12" ht="12.75">
      <c r="A46" s="695">
        <f t="shared" si="4"/>
        <v>30</v>
      </c>
      <c r="B46" s="408"/>
      <c r="C46" s="442" t="s">
        <v>171</v>
      </c>
      <c r="D46" s="461" t="s">
        <v>205</v>
      </c>
      <c r="E46" s="420" t="s">
        <v>381</v>
      </c>
      <c r="F46" s="428"/>
      <c r="G46" s="429">
        <f>ROUND(K46/30.126,1)</f>
        <v>19.7</v>
      </c>
      <c r="H46" s="418">
        <f>výdavky!M414</f>
        <v>150</v>
      </c>
      <c r="I46" s="418">
        <f>výdavky!P414</f>
        <v>150</v>
      </c>
      <c r="J46" s="534">
        <f>výdavky!T414</f>
        <v>400</v>
      </c>
      <c r="K46" s="418">
        <f>výdavky!V414+výdavky!V415</f>
        <v>592.81</v>
      </c>
      <c r="L46" s="419">
        <f t="shared" si="6"/>
        <v>148.2025</v>
      </c>
    </row>
    <row r="47" spans="1:12" ht="12.75">
      <c r="A47" s="695">
        <f t="shared" si="4"/>
        <v>31</v>
      </c>
      <c r="B47" s="408"/>
      <c r="C47" s="442" t="s">
        <v>171</v>
      </c>
      <c r="D47" s="456" t="s">
        <v>207</v>
      </c>
      <c r="E47" s="409" t="s">
        <v>361</v>
      </c>
      <c r="F47" s="457"/>
      <c r="G47" s="463"/>
      <c r="H47" s="412">
        <f>výdavky!M416</f>
        <v>21000</v>
      </c>
      <c r="I47" s="412">
        <f>výdavky!P416</f>
        <v>21000</v>
      </c>
      <c r="J47" s="674">
        <f>výdavky!T416</f>
        <v>23000</v>
      </c>
      <c r="K47" s="412">
        <f>výdavky!V416</f>
        <v>26217.36</v>
      </c>
      <c r="L47" s="413">
        <f t="shared" si="6"/>
        <v>113.98852173913043</v>
      </c>
    </row>
    <row r="48" spans="1:12" ht="12.75">
      <c r="A48" s="695">
        <f t="shared" si="4"/>
        <v>32</v>
      </c>
      <c r="B48" s="408"/>
      <c r="C48" s="442" t="s">
        <v>171</v>
      </c>
      <c r="D48" s="461" t="s">
        <v>211</v>
      </c>
      <c r="E48" s="420" t="s">
        <v>382</v>
      </c>
      <c r="F48" s="428"/>
      <c r="G48" s="429"/>
      <c r="H48" s="418">
        <f>výdavky!M417</f>
        <v>1500</v>
      </c>
      <c r="I48" s="418">
        <f>výdavky!P417</f>
        <v>1500</v>
      </c>
      <c r="J48" s="534">
        <f>výdavky!T417</f>
        <v>1500</v>
      </c>
      <c r="K48" s="418">
        <f>výdavky!V417</f>
        <v>1492.51</v>
      </c>
      <c r="L48" s="419">
        <f t="shared" si="6"/>
        <v>99.50066666666667</v>
      </c>
    </row>
    <row r="49" spans="1:12" ht="12.75">
      <c r="A49" s="695">
        <f t="shared" si="4"/>
        <v>33</v>
      </c>
      <c r="B49" s="408"/>
      <c r="C49" s="442" t="s">
        <v>175</v>
      </c>
      <c r="D49" s="461" t="s">
        <v>214</v>
      </c>
      <c r="E49" s="420" t="s">
        <v>255</v>
      </c>
      <c r="F49" s="428"/>
      <c r="G49" s="429"/>
      <c r="H49" s="418">
        <v>0</v>
      </c>
      <c r="I49" s="418">
        <v>0</v>
      </c>
      <c r="J49" s="534">
        <f>výdavky!T418</f>
        <v>200</v>
      </c>
      <c r="K49" s="418">
        <f>výdavky!V418</f>
        <v>391.79</v>
      </c>
      <c r="L49" s="419">
        <f t="shared" si="6"/>
        <v>195.895</v>
      </c>
    </row>
    <row r="50" spans="1:12" ht="12.75">
      <c r="A50" s="648">
        <f t="shared" si="4"/>
        <v>34</v>
      </c>
      <c r="B50" s="727"/>
      <c r="C50" s="728" t="s">
        <v>179</v>
      </c>
      <c r="D50" s="537" t="s">
        <v>243</v>
      </c>
      <c r="E50" s="636" t="s">
        <v>180</v>
      </c>
      <c r="F50" s="637"/>
      <c r="G50" s="638"/>
      <c r="H50" s="542">
        <f>výdavky!M419</f>
        <v>150</v>
      </c>
      <c r="I50" s="542">
        <f>výdavky!P419</f>
        <v>150</v>
      </c>
      <c r="J50" s="542">
        <f>výdavky!T419</f>
        <v>150</v>
      </c>
      <c r="K50" s="542">
        <f>výdavky!V419</f>
        <v>31.8</v>
      </c>
      <c r="L50" s="543">
        <f t="shared" si="6"/>
        <v>21.2</v>
      </c>
    </row>
    <row r="53" ht="12.75">
      <c r="E53" s="319"/>
    </row>
    <row r="55" ht="12.75">
      <c r="L55" s="689"/>
    </row>
  </sheetData>
  <mergeCells count="3">
    <mergeCell ref="H3:J3"/>
    <mergeCell ref="K3:L3"/>
    <mergeCell ref="D4:F6"/>
  </mergeCells>
  <printOptions/>
  <pageMargins left="0.5902777777777778" right="0.19652777777777777" top="0.7875" bottom="0.7875" header="0.5118055555555556" footer="0.5118055555555556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K17" sqref="K17"/>
    </sheetView>
  </sheetViews>
  <sheetFormatPr defaultColWidth="9.00390625" defaultRowHeight="12.75"/>
  <cols>
    <col min="1" max="1" width="3.625" style="316" customWidth="1"/>
    <col min="2" max="2" width="4.125" style="317" customWidth="1"/>
    <col min="3" max="3" width="7.625" style="318" customWidth="1"/>
    <col min="4" max="4" width="3.375" style="318" customWidth="1"/>
    <col min="5" max="5" width="31.375" style="318" customWidth="1"/>
    <col min="6" max="6" width="7.875" style="318" customWidth="1"/>
    <col min="7" max="7" width="0" style="318" hidden="1" customWidth="1"/>
    <col min="8" max="9" width="9.125" style="318" customWidth="1"/>
    <col min="10" max="10" width="7.625" style="318" customWidth="1"/>
    <col min="11" max="11" width="8.375" style="318" customWidth="1"/>
    <col min="12" max="12" width="7.25390625" style="318" customWidth="1"/>
    <col min="13" max="16384" width="9.125" style="318" customWidth="1"/>
  </cols>
  <sheetData>
    <row r="1" spans="2:12" ht="15.75">
      <c r="B1" s="322" t="s">
        <v>383</v>
      </c>
      <c r="E1" s="729" t="s">
        <v>384</v>
      </c>
      <c r="F1" s="320"/>
      <c r="G1" s="502" t="e">
        <f>G2-G7</f>
        <v>#VALUE!</v>
      </c>
      <c r="H1" s="502"/>
      <c r="I1" s="502"/>
      <c r="J1" s="503">
        <f>J2-J7</f>
        <v>0</v>
      </c>
      <c r="K1" s="503">
        <f>K2-K7</f>
        <v>0</v>
      </c>
      <c r="L1" s="503">
        <f>L2-L7</f>
        <v>0</v>
      </c>
    </row>
    <row r="2" spans="2:12" ht="16.5" thickBot="1">
      <c r="B2" s="322"/>
      <c r="E2" s="320"/>
      <c r="F2" s="320"/>
      <c r="G2" s="502" t="e">
        <f>SUM(G8:G10)</f>
        <v>#VALUE!</v>
      </c>
      <c r="H2" s="502"/>
      <c r="I2" s="502"/>
      <c r="J2" s="503">
        <f>SUM(J8:J10)</f>
        <v>40650</v>
      </c>
      <c r="K2" s="503">
        <f>SUM(K8:K10)</f>
        <v>39059.520000000004</v>
      </c>
      <c r="L2" s="503">
        <f>SUM(L8:L10)</f>
        <v>96.08738007380074</v>
      </c>
    </row>
    <row r="3" spans="1:12" ht="12.75" customHeight="1" thickBot="1">
      <c r="A3" s="331"/>
      <c r="B3" s="332"/>
      <c r="C3" s="333"/>
      <c r="D3" s="333"/>
      <c r="E3" s="334"/>
      <c r="F3" s="335"/>
      <c r="G3" s="336" t="s">
        <v>137</v>
      </c>
      <c r="H3" s="1598" t="s">
        <v>138</v>
      </c>
      <c r="I3" s="1599"/>
      <c r="J3" s="1600"/>
      <c r="K3" s="1601" t="s">
        <v>139</v>
      </c>
      <c r="L3" s="1602"/>
    </row>
    <row r="4" spans="1:12" ht="12" customHeight="1" thickBot="1">
      <c r="A4" s="337"/>
      <c r="B4" s="338" t="s">
        <v>140</v>
      </c>
      <c r="C4" s="339" t="s">
        <v>141</v>
      </c>
      <c r="D4" s="1604" t="s">
        <v>142</v>
      </c>
      <c r="E4" s="1604"/>
      <c r="F4" s="1604"/>
      <c r="G4" s="340"/>
      <c r="H4" s="341">
        <v>2012</v>
      </c>
      <c r="I4" s="341" t="s">
        <v>143</v>
      </c>
      <c r="J4" s="341" t="s">
        <v>144</v>
      </c>
      <c r="K4" s="342">
        <v>2012</v>
      </c>
      <c r="L4" s="342" t="s">
        <v>15</v>
      </c>
    </row>
    <row r="5" spans="1:12" ht="13.5" customHeight="1">
      <c r="A5" s="337"/>
      <c r="B5" s="338" t="s">
        <v>145</v>
      </c>
      <c r="C5" s="339" t="s">
        <v>146</v>
      </c>
      <c r="D5" s="1604"/>
      <c r="E5" s="1604"/>
      <c r="F5" s="1604"/>
      <c r="G5" s="343" t="s">
        <v>147</v>
      </c>
      <c r="H5" s="344" t="s">
        <v>148</v>
      </c>
      <c r="I5" s="344" t="s">
        <v>148</v>
      </c>
      <c r="J5" s="344" t="s">
        <v>148</v>
      </c>
      <c r="K5" s="345" t="s">
        <v>149</v>
      </c>
      <c r="L5" s="345"/>
    </row>
    <row r="6" spans="1:12" ht="13.5" thickBot="1">
      <c r="A6" s="505"/>
      <c r="B6" s="506" t="s">
        <v>150</v>
      </c>
      <c r="C6" s="507" t="s">
        <v>151</v>
      </c>
      <c r="D6" s="1604"/>
      <c r="E6" s="1604"/>
      <c r="F6" s="1604"/>
      <c r="G6" s="508">
        <v>1</v>
      </c>
      <c r="H6" s="346">
        <v>1</v>
      </c>
      <c r="I6" s="346">
        <v>2</v>
      </c>
      <c r="J6" s="347">
        <v>3</v>
      </c>
      <c r="K6" s="348">
        <v>4</v>
      </c>
      <c r="L6" s="348">
        <v>5</v>
      </c>
    </row>
    <row r="7" spans="1:12" ht="15.75" thickBot="1">
      <c r="A7" s="357">
        <v>1</v>
      </c>
      <c r="B7" s="730" t="s">
        <v>383</v>
      </c>
      <c r="C7" s="510"/>
      <c r="D7" s="511"/>
      <c r="E7" s="512" t="s">
        <v>385</v>
      </c>
      <c r="F7" s="513"/>
      <c r="G7" s="731" t="e">
        <f>G11+"$#REF!$#REF!+$#REF!$#REF!+G17+$#REF!$#REF!+#REF!#REF!+$#REF!$#REF!+$#REF!$#REF!+$#REF!$#REF!+$#REF!$#REF!+$#REF!$#REF!+$#REF!$#REF!+G22+$#REF!$#REF!"</f>
        <v>#VALUE!</v>
      </c>
      <c r="H7" s="1492">
        <f>SUM(H8:H10)</f>
        <v>33100</v>
      </c>
      <c r="I7" s="1493">
        <f>SUM(I8:I10)</f>
        <v>34150</v>
      </c>
      <c r="J7" s="1493">
        <f>SUM(J8,J9,J10)</f>
        <v>40650</v>
      </c>
      <c r="K7" s="1493">
        <f>SUM(K8,K9,K10)</f>
        <v>39059.520000000004</v>
      </c>
      <c r="L7" s="1494">
        <f>K7/J7*100</f>
        <v>96.08738007380074</v>
      </c>
    </row>
    <row r="8" spans="1:12" ht="12.75">
      <c r="A8" s="357">
        <f aca="true" t="shared" si="0" ref="A8:A15">A7+1</f>
        <v>2</v>
      </c>
      <c r="B8" s="358" t="s">
        <v>153</v>
      </c>
      <c r="C8" s="359" t="s">
        <v>154</v>
      </c>
      <c r="D8" s="360"/>
      <c r="E8" s="361"/>
      <c r="F8" s="362"/>
      <c r="G8" s="517" t="e">
        <f>G12+"$#REF!$#REF!+$#REF!$#REF!+#REF!#REF!+G18+$#REF!$#REF!+$#REF!$#REF!+$#REF!$#REF!+$#REF!$#REF!+G23+$#REF!$#REF!+$#REF!$#REF!+$#REF!$#REF!"</f>
        <v>#VALUE!</v>
      </c>
      <c r="H8" s="519">
        <f>SUM(H12,H18,H23,H31)</f>
        <v>33100</v>
      </c>
      <c r="I8" s="519">
        <f>SUM(I12,I18,I23,I31)</f>
        <v>34150</v>
      </c>
      <c r="J8" s="519">
        <f>SUM(J12,J18,J23,J31)</f>
        <v>40650</v>
      </c>
      <c r="K8" s="519">
        <f>SUM(K12,K18,K23,K31)</f>
        <v>39059.520000000004</v>
      </c>
      <c r="L8" s="1577">
        <f>K8/J8*100</f>
        <v>96.08738007380074</v>
      </c>
    </row>
    <row r="9" spans="1:12" ht="12.75">
      <c r="A9" s="357">
        <f t="shared" si="0"/>
        <v>3</v>
      </c>
      <c r="B9" s="358" t="s">
        <v>155</v>
      </c>
      <c r="C9" s="359" t="s">
        <v>156</v>
      </c>
      <c r="D9" s="360"/>
      <c r="E9" s="361"/>
      <c r="F9" s="362"/>
      <c r="G9" s="517" t="str">
        <f>"$#REF!$#REF!"</f>
        <v>$#REF!$#REF!</v>
      </c>
      <c r="H9" s="519">
        <f>SUM(H27)</f>
        <v>0</v>
      </c>
      <c r="I9" s="519">
        <f>SUM(I27)</f>
        <v>0</v>
      </c>
      <c r="J9" s="518">
        <f>SUM(J27)</f>
        <v>0</v>
      </c>
      <c r="K9" s="518">
        <f>SUM(K27)</f>
        <v>0</v>
      </c>
      <c r="L9" s="732">
        <v>0</v>
      </c>
    </row>
    <row r="10" spans="1:12" ht="12.75">
      <c r="A10" s="357">
        <f t="shared" si="0"/>
        <v>4</v>
      </c>
      <c r="B10" s="366"/>
      <c r="C10" s="367" t="s">
        <v>157</v>
      </c>
      <c r="D10" s="368"/>
      <c r="E10" s="369"/>
      <c r="F10" s="370"/>
      <c r="G10" s="522" t="str">
        <f>"$#REF!$#REF!"</f>
        <v>$#REF!$#REF!</v>
      </c>
      <c r="H10" s="519">
        <v>0</v>
      </c>
      <c r="I10" s="519">
        <v>0</v>
      </c>
      <c r="J10" s="523">
        <v>0</v>
      </c>
      <c r="K10" s="523">
        <v>0</v>
      </c>
      <c r="L10" s="732">
        <v>0</v>
      </c>
    </row>
    <row r="11" spans="1:12" ht="12.75">
      <c r="A11" s="357">
        <f t="shared" si="0"/>
        <v>5</v>
      </c>
      <c r="B11" s="374">
        <v>1</v>
      </c>
      <c r="C11" s="486" t="s">
        <v>386</v>
      </c>
      <c r="D11" s="376"/>
      <c r="E11" s="376"/>
      <c r="F11" s="377"/>
      <c r="G11" s="733">
        <f>SUM(G13)</f>
        <v>406.7</v>
      </c>
      <c r="H11" s="379">
        <f aca="true" t="shared" si="1" ref="H11:K12">H12</f>
        <v>6800</v>
      </c>
      <c r="I11" s="379">
        <f t="shared" si="1"/>
        <v>6800</v>
      </c>
      <c r="J11" s="556">
        <f t="shared" si="1"/>
        <v>13200</v>
      </c>
      <c r="K11" s="556">
        <f t="shared" si="1"/>
        <v>12669.830000000002</v>
      </c>
      <c r="L11" s="1578">
        <f aca="true" t="shared" si="2" ref="L11:L26">K11/J11*100</f>
        <v>95.98356060606062</v>
      </c>
    </row>
    <row r="12" spans="1:12" ht="12.75">
      <c r="A12" s="357">
        <f t="shared" si="0"/>
        <v>6</v>
      </c>
      <c r="B12" s="391"/>
      <c r="C12" s="392"/>
      <c r="D12" s="362" t="s">
        <v>154</v>
      </c>
      <c r="E12" s="393"/>
      <c r="F12" s="394"/>
      <c r="G12" s="734">
        <f>G13</f>
        <v>406.7</v>
      </c>
      <c r="H12" s="396">
        <f t="shared" si="1"/>
        <v>6800</v>
      </c>
      <c r="I12" s="396">
        <f t="shared" si="1"/>
        <v>6800</v>
      </c>
      <c r="J12" s="558">
        <f t="shared" si="1"/>
        <v>13200</v>
      </c>
      <c r="K12" s="558">
        <f t="shared" si="1"/>
        <v>12669.830000000002</v>
      </c>
      <c r="L12" s="1579">
        <f t="shared" si="2"/>
        <v>95.98356060606062</v>
      </c>
    </row>
    <row r="13" spans="1:12" ht="12.75">
      <c r="A13" s="357">
        <f t="shared" si="0"/>
        <v>7</v>
      </c>
      <c r="B13" s="430"/>
      <c r="C13" s="484" t="s">
        <v>387</v>
      </c>
      <c r="D13" s="400" t="s">
        <v>388</v>
      </c>
      <c r="E13" s="401"/>
      <c r="F13" s="402"/>
      <c r="G13" s="735">
        <f>SUM(G14:G15)</f>
        <v>406.7</v>
      </c>
      <c r="H13" s="404">
        <f>SUM(H14,H15,H16)</f>
        <v>6800</v>
      </c>
      <c r="I13" s="404">
        <f>SUM(I14,I15,I16)</f>
        <v>6800</v>
      </c>
      <c r="J13" s="533">
        <f>SUM(J14,J15,J16)</f>
        <v>13200</v>
      </c>
      <c r="K13" s="533">
        <f>SUM(K14,K15,K16)</f>
        <v>12669.830000000002</v>
      </c>
      <c r="L13" s="1580">
        <f t="shared" si="2"/>
        <v>95.98356060606062</v>
      </c>
    </row>
    <row r="14" spans="1:12" ht="12.75">
      <c r="A14" s="357">
        <f t="shared" si="0"/>
        <v>8</v>
      </c>
      <c r="B14" s="430"/>
      <c r="C14" s="462" t="s">
        <v>201</v>
      </c>
      <c r="D14" s="461" t="s">
        <v>190</v>
      </c>
      <c r="E14" s="420" t="s">
        <v>389</v>
      </c>
      <c r="F14" s="428"/>
      <c r="G14" s="429">
        <f>ROUND(K14/30.126,1)</f>
        <v>128.3</v>
      </c>
      <c r="H14" s="418">
        <f>výdavky!M444</f>
        <v>3500</v>
      </c>
      <c r="I14" s="418">
        <f>výdavky!P444</f>
        <v>3500</v>
      </c>
      <c r="J14" s="534">
        <f>výdavky!T444</f>
        <v>3900</v>
      </c>
      <c r="K14" s="534">
        <f>výdavky!V444</f>
        <v>3864.02</v>
      </c>
      <c r="L14" s="1581">
        <f t="shared" si="2"/>
        <v>99.07743589743589</v>
      </c>
    </row>
    <row r="15" spans="1:12" ht="12.75">
      <c r="A15" s="357">
        <f t="shared" si="0"/>
        <v>9</v>
      </c>
      <c r="B15" s="430"/>
      <c r="C15" s="462" t="s">
        <v>201</v>
      </c>
      <c r="D15" s="461" t="s">
        <v>192</v>
      </c>
      <c r="E15" s="420" t="s">
        <v>390</v>
      </c>
      <c r="F15" s="428"/>
      <c r="G15" s="429">
        <f>ROUND(K15/30.126,1)</f>
        <v>278.4</v>
      </c>
      <c r="H15" s="418">
        <f>výdavky!M445</f>
        <v>2800</v>
      </c>
      <c r="I15" s="418">
        <f>výdavky!P445</f>
        <v>2800</v>
      </c>
      <c r="J15" s="534">
        <f>výdavky!T445</f>
        <v>8800</v>
      </c>
      <c r="K15" s="534">
        <f>výdavky!V445</f>
        <v>8386.37</v>
      </c>
      <c r="L15" s="1581">
        <f t="shared" si="2"/>
        <v>95.29965909090909</v>
      </c>
    </row>
    <row r="16" spans="1:12" ht="12.75">
      <c r="A16" s="357"/>
      <c r="B16" s="430"/>
      <c r="C16" s="460" t="s">
        <v>345</v>
      </c>
      <c r="D16" s="461" t="s">
        <v>203</v>
      </c>
      <c r="E16" s="563" t="s">
        <v>391</v>
      </c>
      <c r="F16" s="428"/>
      <c r="G16" s="429"/>
      <c r="H16" s="418">
        <f>výdavky!M453</f>
        <v>500</v>
      </c>
      <c r="I16" s="418">
        <f>výdavky!P453</f>
        <v>500</v>
      </c>
      <c r="J16" s="534">
        <f>výdavky!T453</f>
        <v>500</v>
      </c>
      <c r="K16" s="534">
        <f>výdavky!V453</f>
        <v>419.44</v>
      </c>
      <c r="L16" s="1581">
        <f t="shared" si="2"/>
        <v>83.88799999999999</v>
      </c>
    </row>
    <row r="17" spans="1:12" ht="12.75">
      <c r="A17" s="357">
        <v>10</v>
      </c>
      <c r="B17" s="374">
        <v>2</v>
      </c>
      <c r="C17" s="486" t="s">
        <v>392</v>
      </c>
      <c r="D17" s="376"/>
      <c r="E17" s="376"/>
      <c r="F17" s="377"/>
      <c r="G17" s="378" t="str">
        <f>"#REF!#REF!"</f>
        <v>#REF!#REF!</v>
      </c>
      <c r="H17" s="736">
        <f>SUM(H18)</f>
        <v>1500</v>
      </c>
      <c r="I17" s="736">
        <f>SUM(I18)</f>
        <v>1500</v>
      </c>
      <c r="J17" s="737">
        <f>SUM(J18)</f>
        <v>1600</v>
      </c>
      <c r="K17" s="737">
        <f>SUM(K18)</f>
        <v>970</v>
      </c>
      <c r="L17" s="1582">
        <f t="shared" si="2"/>
        <v>60.62499999999999</v>
      </c>
    </row>
    <row r="18" spans="1:12" ht="12.75">
      <c r="A18" s="357">
        <v>11</v>
      </c>
      <c r="B18" s="391"/>
      <c r="C18" s="392"/>
      <c r="D18" s="362" t="s">
        <v>154</v>
      </c>
      <c r="E18" s="393"/>
      <c r="F18" s="394"/>
      <c r="G18" s="734">
        <f>G19</f>
        <v>12.3</v>
      </c>
      <c r="H18" s="396">
        <f>H19</f>
        <v>1500</v>
      </c>
      <c r="I18" s="396">
        <f>I19</f>
        <v>1500</v>
      </c>
      <c r="J18" s="558">
        <f>J19</f>
        <v>1600</v>
      </c>
      <c r="K18" s="558">
        <f>K19</f>
        <v>970</v>
      </c>
      <c r="L18" s="1579">
        <f t="shared" si="2"/>
        <v>60.62499999999999</v>
      </c>
    </row>
    <row r="19" spans="1:12" ht="12.75">
      <c r="A19" s="357">
        <f aca="true" t="shared" si="3" ref="A19:A26">A18+1</f>
        <v>12</v>
      </c>
      <c r="B19" s="430"/>
      <c r="C19" s="484" t="s">
        <v>393</v>
      </c>
      <c r="D19" s="400" t="s">
        <v>394</v>
      </c>
      <c r="E19" s="401"/>
      <c r="F19" s="402"/>
      <c r="G19" s="735">
        <f>SUM(G20)</f>
        <v>12.3</v>
      </c>
      <c r="H19" s="404">
        <f>SUM(H20:H21)</f>
        <v>1500</v>
      </c>
      <c r="I19" s="404">
        <f>SUM(I20:I21)</f>
        <v>1500</v>
      </c>
      <c r="J19" s="533">
        <f>SUM(J20:J21)</f>
        <v>1600</v>
      </c>
      <c r="K19" s="533">
        <f>SUM(K20:K21)</f>
        <v>970</v>
      </c>
      <c r="L19" s="1580">
        <f t="shared" si="2"/>
        <v>60.62499999999999</v>
      </c>
    </row>
    <row r="20" spans="1:12" ht="12.75">
      <c r="A20" s="357">
        <f t="shared" si="3"/>
        <v>13</v>
      </c>
      <c r="B20" s="430"/>
      <c r="C20" s="462" t="s">
        <v>345</v>
      </c>
      <c r="D20" s="461" t="s">
        <v>190</v>
      </c>
      <c r="E20" s="420" t="s">
        <v>395</v>
      </c>
      <c r="F20" s="428"/>
      <c r="G20" s="429">
        <f>ROUND(K20/30.126,1)</f>
        <v>12.3</v>
      </c>
      <c r="H20" s="418">
        <f>výdavky!M448</f>
        <v>1000</v>
      </c>
      <c r="I20" s="418">
        <f>výdavky!P448</f>
        <v>1000</v>
      </c>
      <c r="J20" s="534">
        <f>výdavky!T448</f>
        <v>1000</v>
      </c>
      <c r="K20" s="534">
        <f>výdavky!V448</f>
        <v>370</v>
      </c>
      <c r="L20" s="1581">
        <f t="shared" si="2"/>
        <v>37</v>
      </c>
    </row>
    <row r="21" spans="1:12" ht="12.75">
      <c r="A21" s="357">
        <f t="shared" si="3"/>
        <v>14</v>
      </c>
      <c r="B21" s="430"/>
      <c r="C21" s="460" t="s">
        <v>345</v>
      </c>
      <c r="D21" s="461" t="s">
        <v>192</v>
      </c>
      <c r="E21" s="420" t="s">
        <v>396</v>
      </c>
      <c r="F21" s="428"/>
      <c r="G21" s="429"/>
      <c r="H21" s="418">
        <f>výdavky!M446</f>
        <v>500</v>
      </c>
      <c r="I21" s="418">
        <f>výdavky!P446</f>
        <v>500</v>
      </c>
      <c r="J21" s="534">
        <f>výdavky!T446</f>
        <v>600</v>
      </c>
      <c r="K21" s="534">
        <f>výdavky!V446</f>
        <v>600</v>
      </c>
      <c r="L21" s="1581">
        <f t="shared" si="2"/>
        <v>100</v>
      </c>
    </row>
    <row r="22" spans="1:12" ht="12.75">
      <c r="A22" s="357">
        <f t="shared" si="3"/>
        <v>15</v>
      </c>
      <c r="B22" s="374">
        <v>3</v>
      </c>
      <c r="C22" s="486" t="s">
        <v>397</v>
      </c>
      <c r="D22" s="376"/>
      <c r="E22" s="376"/>
      <c r="F22" s="377"/>
      <c r="G22" s="378">
        <f>SUM(G24)</f>
        <v>329.9</v>
      </c>
      <c r="H22" s="380">
        <f>H24</f>
        <v>11500</v>
      </c>
      <c r="I22" s="380">
        <f>I24</f>
        <v>11500</v>
      </c>
      <c r="J22" s="556">
        <f>J24</f>
        <v>10000</v>
      </c>
      <c r="K22" s="556">
        <f>K24</f>
        <v>9939.27</v>
      </c>
      <c r="L22" s="1582">
        <f t="shared" si="2"/>
        <v>99.3927</v>
      </c>
    </row>
    <row r="23" spans="1:12" ht="12.75">
      <c r="A23" s="357">
        <f t="shared" si="3"/>
        <v>16</v>
      </c>
      <c r="B23" s="391"/>
      <c r="C23" s="392"/>
      <c r="D23" s="362" t="s">
        <v>154</v>
      </c>
      <c r="E23" s="393"/>
      <c r="F23" s="394"/>
      <c r="G23" s="395">
        <f>G24</f>
        <v>329.9</v>
      </c>
      <c r="H23" s="396">
        <f>H24</f>
        <v>11500</v>
      </c>
      <c r="I23" s="396">
        <f>I24</f>
        <v>11500</v>
      </c>
      <c r="J23" s="558">
        <f>J24</f>
        <v>10000</v>
      </c>
      <c r="K23" s="558">
        <f>K24</f>
        <v>9939.27</v>
      </c>
      <c r="L23" s="1579">
        <f t="shared" si="2"/>
        <v>99.3927</v>
      </c>
    </row>
    <row r="24" spans="1:12" ht="12.75">
      <c r="A24" s="357">
        <f t="shared" si="3"/>
        <v>17</v>
      </c>
      <c r="B24" s="391"/>
      <c r="C24" s="484" t="s">
        <v>398</v>
      </c>
      <c r="D24" s="400" t="s">
        <v>397</v>
      </c>
      <c r="E24" s="401"/>
      <c r="F24" s="402"/>
      <c r="G24" s="474">
        <f>SUM(G25:G34)</f>
        <v>329.9</v>
      </c>
      <c r="H24" s="475">
        <f>SUM(H25,H26)</f>
        <v>11500</v>
      </c>
      <c r="I24" s="475">
        <f>SUM(I25,I26)</f>
        <v>11500</v>
      </c>
      <c r="J24" s="738">
        <f>SUM(J25,J26)</f>
        <v>10000</v>
      </c>
      <c r="K24" s="738">
        <f>SUM(K25,K26)</f>
        <v>9939.27</v>
      </c>
      <c r="L24" s="1580">
        <f t="shared" si="2"/>
        <v>99.3927</v>
      </c>
    </row>
    <row r="25" spans="1:12" ht="12.75">
      <c r="A25" s="357">
        <f t="shared" si="3"/>
        <v>18</v>
      </c>
      <c r="B25" s="430"/>
      <c r="C25" s="462" t="s">
        <v>358</v>
      </c>
      <c r="D25" s="461" t="s">
        <v>190</v>
      </c>
      <c r="E25" s="420" t="s">
        <v>359</v>
      </c>
      <c r="F25" s="428"/>
      <c r="G25" s="429">
        <f>ROUND(K25/30.126,1)</f>
        <v>295.9</v>
      </c>
      <c r="H25" s="418">
        <f>výdavky!M450</f>
        <v>8000</v>
      </c>
      <c r="I25" s="418">
        <f>výdavky!P450</f>
        <v>8000</v>
      </c>
      <c r="J25" s="564">
        <f>výdavky!T450</f>
        <v>9200</v>
      </c>
      <c r="K25" s="564">
        <f>výdavky!V450</f>
        <v>8914.02</v>
      </c>
      <c r="L25" s="1581">
        <f t="shared" si="2"/>
        <v>96.89152173913044</v>
      </c>
    </row>
    <row r="26" spans="1:12" ht="12.75">
      <c r="A26" s="357">
        <f t="shared" si="3"/>
        <v>19</v>
      </c>
      <c r="B26" s="430"/>
      <c r="C26" s="462" t="s">
        <v>360</v>
      </c>
      <c r="D26" s="461" t="s">
        <v>192</v>
      </c>
      <c r="E26" s="420" t="s">
        <v>337</v>
      </c>
      <c r="F26" s="428"/>
      <c r="G26" s="429">
        <f>ROUND(K26/30.126,1)</f>
        <v>34</v>
      </c>
      <c r="H26" s="418">
        <f>výdavky!M451</f>
        <v>3500</v>
      </c>
      <c r="I26" s="418">
        <f>výdavky!P451</f>
        <v>3500</v>
      </c>
      <c r="J26" s="564">
        <f>výdavky!T451</f>
        <v>800</v>
      </c>
      <c r="K26" s="564">
        <f>výdavky!V451</f>
        <v>1025.25</v>
      </c>
      <c r="L26" s="1581">
        <f t="shared" si="2"/>
        <v>128.15625</v>
      </c>
    </row>
    <row r="27" spans="1:12" ht="12.75">
      <c r="A27" s="357">
        <v>20</v>
      </c>
      <c r="B27" s="430"/>
      <c r="C27" s="460"/>
      <c r="D27" s="1608" t="s">
        <v>156</v>
      </c>
      <c r="E27" s="1608"/>
      <c r="F27" s="427"/>
      <c r="G27" s="739"/>
      <c r="H27" s="683">
        <f aca="true" t="shared" si="4" ref="H27:K28">SUM(H28)</f>
        <v>0</v>
      </c>
      <c r="I27" s="683">
        <f t="shared" si="4"/>
        <v>0</v>
      </c>
      <c r="J27" s="684">
        <f t="shared" si="4"/>
        <v>0</v>
      </c>
      <c r="K27" s="684">
        <f t="shared" si="4"/>
        <v>0</v>
      </c>
      <c r="L27" s="1583">
        <v>0</v>
      </c>
    </row>
    <row r="28" spans="1:12" ht="12.75">
      <c r="A28" s="357">
        <v>21</v>
      </c>
      <c r="B28" s="430"/>
      <c r="C28" s="484" t="s">
        <v>398</v>
      </c>
      <c r="D28" s="400" t="s">
        <v>397</v>
      </c>
      <c r="E28" s="401"/>
      <c r="F28" s="402"/>
      <c r="G28" s="474">
        <f>SUM(G29:G38)</f>
        <v>0</v>
      </c>
      <c r="H28" s="475">
        <f t="shared" si="4"/>
        <v>0</v>
      </c>
      <c r="I28" s="475">
        <f t="shared" si="4"/>
        <v>0</v>
      </c>
      <c r="J28" s="738">
        <f t="shared" si="4"/>
        <v>0</v>
      </c>
      <c r="K28" s="738">
        <f t="shared" si="4"/>
        <v>0</v>
      </c>
      <c r="L28" s="1580">
        <f>SUM(L29)</f>
        <v>0</v>
      </c>
    </row>
    <row r="29" spans="1:12" ht="12.75">
      <c r="A29" s="357">
        <v>22</v>
      </c>
      <c r="B29" s="430"/>
      <c r="C29" s="460" t="s">
        <v>269</v>
      </c>
      <c r="D29" s="461" t="s">
        <v>203</v>
      </c>
      <c r="E29" s="420" t="s">
        <v>399</v>
      </c>
      <c r="F29" s="428"/>
      <c r="G29" s="429"/>
      <c r="H29" s="418">
        <v>0</v>
      </c>
      <c r="I29" s="418">
        <v>0</v>
      </c>
      <c r="J29" s="564">
        <f>'[1]výdavky'!F423</f>
        <v>0</v>
      </c>
      <c r="K29" s="564">
        <f>'[1]výdavky'!G423</f>
        <v>0</v>
      </c>
      <c r="L29" s="1581">
        <f>'[1]výdavky'!H423</f>
        <v>0</v>
      </c>
    </row>
    <row r="30" spans="1:12" ht="12.75">
      <c r="A30" s="357">
        <v>23</v>
      </c>
      <c r="B30" s="740">
        <v>4</v>
      </c>
      <c r="C30" s="1605" t="s">
        <v>400</v>
      </c>
      <c r="D30" s="1605"/>
      <c r="E30" s="1605"/>
      <c r="F30" s="741"/>
      <c r="G30" s="742"/>
      <c r="H30" s="569">
        <f aca="true" t="shared" si="5" ref="H30:K31">SUM(H31)</f>
        <v>13300</v>
      </c>
      <c r="I30" s="569">
        <f t="shared" si="5"/>
        <v>14350</v>
      </c>
      <c r="J30" s="568">
        <f t="shared" si="5"/>
        <v>15850</v>
      </c>
      <c r="K30" s="568">
        <f t="shared" si="5"/>
        <v>15480.42</v>
      </c>
      <c r="L30" s="1582">
        <f>K30/J30*100</f>
        <v>97.66826498422712</v>
      </c>
    </row>
    <row r="31" spans="1:12" ht="12.75">
      <c r="A31" s="357">
        <v>24</v>
      </c>
      <c r="B31" s="430"/>
      <c r="C31" s="460"/>
      <c r="D31" s="362" t="s">
        <v>154</v>
      </c>
      <c r="E31" s="393"/>
      <c r="F31" s="394"/>
      <c r="G31" s="617"/>
      <c r="H31" s="683">
        <f t="shared" si="5"/>
        <v>13300</v>
      </c>
      <c r="I31" s="683">
        <f t="shared" si="5"/>
        <v>14350</v>
      </c>
      <c r="J31" s="743">
        <f t="shared" si="5"/>
        <v>15850</v>
      </c>
      <c r="K31" s="743">
        <f t="shared" si="5"/>
        <v>15480.42</v>
      </c>
      <c r="L31" s="1583">
        <f>K31/J31*100</f>
        <v>97.66826498422712</v>
      </c>
    </row>
    <row r="32" spans="1:12" ht="12.75">
      <c r="A32" s="357">
        <v>25</v>
      </c>
      <c r="B32" s="430"/>
      <c r="C32" s="484" t="s">
        <v>401</v>
      </c>
      <c r="D32" s="400" t="s">
        <v>402</v>
      </c>
      <c r="E32" s="401"/>
      <c r="F32" s="402"/>
      <c r="G32" s="429"/>
      <c r="H32" s="645">
        <f>SUM(H33,H34,H35)</f>
        <v>13300</v>
      </c>
      <c r="I32" s="645">
        <f>SUM(I33,I34,I35)</f>
        <v>14350</v>
      </c>
      <c r="J32" s="744">
        <f>SUM(J33,J34,J35)</f>
        <v>15850</v>
      </c>
      <c r="K32" s="744">
        <f>SUM(K33,K34,K35)</f>
        <v>15480.42</v>
      </c>
      <c r="L32" s="1584">
        <f>K32/J32*100</f>
        <v>97.66826498422712</v>
      </c>
    </row>
    <row r="33" spans="1:12" ht="12.75">
      <c r="A33" s="357">
        <v>26</v>
      </c>
      <c r="B33" s="430"/>
      <c r="C33" s="460" t="s">
        <v>345</v>
      </c>
      <c r="D33" s="461" t="s">
        <v>190</v>
      </c>
      <c r="E33" s="698" t="s">
        <v>403</v>
      </c>
      <c r="F33" s="745"/>
      <c r="G33" s="746"/>
      <c r="H33" s="747">
        <f>výdavky!M458</f>
        <v>13000</v>
      </c>
      <c r="I33" s="747">
        <f>výdavky!P458</f>
        <v>13000</v>
      </c>
      <c r="J33" s="748">
        <f>výdavky!T458</f>
        <v>14500</v>
      </c>
      <c r="K33" s="748">
        <f>výdavky!V458</f>
        <v>14179.9</v>
      </c>
      <c r="L33" s="1585">
        <f>K33/J33*100</f>
        <v>97.79241379310345</v>
      </c>
    </row>
    <row r="34" spans="1:12" ht="12.75">
      <c r="A34" s="357">
        <v>27</v>
      </c>
      <c r="B34" s="430"/>
      <c r="C34" s="460" t="s">
        <v>345</v>
      </c>
      <c r="D34" s="461" t="s">
        <v>192</v>
      </c>
      <c r="E34" s="698" t="s">
        <v>404</v>
      </c>
      <c r="F34" s="745"/>
      <c r="G34" s="746"/>
      <c r="H34" s="747">
        <f>výdavky!M460</f>
        <v>300</v>
      </c>
      <c r="I34" s="747">
        <f>výdavky!P460</f>
        <v>1350</v>
      </c>
      <c r="J34" s="748">
        <f>výdavky!T460</f>
        <v>1350</v>
      </c>
      <c r="K34" s="748">
        <f>výdavky!V460</f>
        <v>1300.52</v>
      </c>
      <c r="L34" s="1585">
        <f>K34/J34*100</f>
        <v>96.33481481481482</v>
      </c>
    </row>
    <row r="35" spans="1:12" ht="12.75">
      <c r="A35" s="493">
        <v>28</v>
      </c>
      <c r="B35" s="648"/>
      <c r="C35" s="536"/>
      <c r="D35" s="537" t="s">
        <v>203</v>
      </c>
      <c r="E35" s="636" t="s">
        <v>405</v>
      </c>
      <c r="F35" s="637"/>
      <c r="G35" s="749"/>
      <c r="H35" s="750">
        <v>0</v>
      </c>
      <c r="I35" s="750">
        <f>'[1]výdavky'!E361</f>
        <v>0</v>
      </c>
      <c r="J35" s="751">
        <v>0</v>
      </c>
      <c r="K35" s="751">
        <f>'[1]výdavky'!G361</f>
        <v>0</v>
      </c>
      <c r="L35" s="1586">
        <f>'[1]výdavky'!H361</f>
        <v>0</v>
      </c>
    </row>
  </sheetData>
  <mergeCells count="5">
    <mergeCell ref="C30:E30"/>
    <mergeCell ref="H3:J3"/>
    <mergeCell ref="K3:L3"/>
    <mergeCell ref="D4:F6"/>
    <mergeCell ref="D27:E27"/>
  </mergeCells>
  <printOptions/>
  <pageMargins left="0.7875" right="0.39375" top="0.7875" bottom="0.7875" header="0.5118055555555556" footer="0.5118055555555556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0">
      <selection activeCell="E23" sqref="E23"/>
    </sheetView>
  </sheetViews>
  <sheetFormatPr defaultColWidth="9.00390625" defaultRowHeight="12.75"/>
  <cols>
    <col min="1" max="1" width="9.125" style="318" customWidth="1"/>
    <col min="2" max="2" width="29.125" style="318" customWidth="1"/>
    <col min="3" max="7" width="10.75390625" style="318" customWidth="1"/>
    <col min="8" max="8" width="9.125" style="318" customWidth="1"/>
    <col min="9" max="9" width="11.625" style="318" customWidth="1"/>
    <col min="10" max="16384" width="9.125" style="318" customWidth="1"/>
  </cols>
  <sheetData>
    <row r="1" spans="1:7" ht="15.75">
      <c r="A1" s="1611" t="s">
        <v>406</v>
      </c>
      <c r="B1" s="1611"/>
      <c r="C1" s="1611"/>
      <c r="D1" s="1611"/>
      <c r="E1" s="1611"/>
      <c r="F1" s="1611"/>
      <c r="G1" s="1611"/>
    </row>
    <row r="2" spans="1:7" s="752" customFormat="1" ht="15.75">
      <c r="A2" s="1611" t="s">
        <v>407</v>
      </c>
      <c r="B2" s="1611"/>
      <c r="C2" s="1611"/>
      <c r="D2" s="1611"/>
      <c r="E2" s="1611"/>
      <c r="F2" s="1611"/>
      <c r="G2" s="1611"/>
    </row>
    <row r="3" spans="1:7" ht="12.75">
      <c r="A3" s="753"/>
      <c r="B3" s="753"/>
      <c r="C3" s="753"/>
      <c r="D3" s="753"/>
      <c r="E3" s="753"/>
      <c r="F3" s="754"/>
      <c r="G3" s="754"/>
    </row>
    <row r="4" spans="1:7" ht="12.75">
      <c r="A4" s="753"/>
      <c r="B4" s="753"/>
      <c r="C4" s="753"/>
      <c r="D4" s="753"/>
      <c r="E4" s="753"/>
      <c r="F4" s="754"/>
      <c r="G4" s="754"/>
    </row>
    <row r="5" spans="1:7" ht="12.75">
      <c r="A5" s="1503" t="s">
        <v>408</v>
      </c>
      <c r="B5" s="1504"/>
      <c r="C5" s="1612" t="s">
        <v>138</v>
      </c>
      <c r="D5" s="1612"/>
      <c r="E5" s="1612"/>
      <c r="F5" s="1587" t="s">
        <v>139</v>
      </c>
      <c r="G5" s="1613"/>
    </row>
    <row r="6" spans="1:7" ht="12.75">
      <c r="A6" s="1505"/>
      <c r="B6" s="758"/>
      <c r="C6" s="759">
        <v>2012</v>
      </c>
      <c r="D6" s="759" t="s">
        <v>143</v>
      </c>
      <c r="E6" s="759" t="s">
        <v>409</v>
      </c>
      <c r="F6" s="760">
        <v>2012</v>
      </c>
      <c r="G6" s="1506" t="s">
        <v>15</v>
      </c>
    </row>
    <row r="7" spans="1:7" ht="12.75">
      <c r="A7" s="1505"/>
      <c r="B7" s="758"/>
      <c r="C7" s="760" t="s">
        <v>148</v>
      </c>
      <c r="D7" s="760" t="s">
        <v>148</v>
      </c>
      <c r="E7" s="760" t="s">
        <v>148</v>
      </c>
      <c r="F7" s="760" t="s">
        <v>148</v>
      </c>
      <c r="G7" s="1506"/>
    </row>
    <row r="8" spans="1:7" ht="12.75">
      <c r="A8" s="1507"/>
      <c r="B8" s="762"/>
      <c r="C8" s="763">
        <v>1</v>
      </c>
      <c r="D8" s="763">
        <v>2</v>
      </c>
      <c r="E8" s="763">
        <v>3</v>
      </c>
      <c r="F8" s="764">
        <v>4</v>
      </c>
      <c r="G8" s="1508">
        <v>5</v>
      </c>
    </row>
    <row r="9" spans="1:7" ht="12.75">
      <c r="A9" s="1509" t="s">
        <v>410</v>
      </c>
      <c r="B9" s="765"/>
      <c r="C9" s="766"/>
      <c r="D9" s="766"/>
      <c r="E9" s="766"/>
      <c r="F9" s="767"/>
      <c r="G9" s="1510"/>
    </row>
    <row r="10" spans="1:7" ht="12.75">
      <c r="A10" s="1511" t="s">
        <v>11</v>
      </c>
      <c r="B10" s="769"/>
      <c r="C10" s="770">
        <v>1272308</v>
      </c>
      <c r="D10" s="770">
        <v>1348243</v>
      </c>
      <c r="E10" s="770">
        <v>1370550</v>
      </c>
      <c r="F10" s="770">
        <v>1402631</v>
      </c>
      <c r="G10" s="1512">
        <f>F10/E10*100</f>
        <v>102.34073911933166</v>
      </c>
    </row>
    <row r="11" spans="1:10" ht="12.75">
      <c r="A11" s="1513" t="s">
        <v>105</v>
      </c>
      <c r="B11" s="1499"/>
      <c r="C11" s="1500">
        <v>584744</v>
      </c>
      <c r="D11" s="1500">
        <v>582744</v>
      </c>
      <c r="E11" s="1500">
        <v>421775</v>
      </c>
      <c r="F11" s="1500">
        <v>419518</v>
      </c>
      <c r="G11" s="1514">
        <f>F11/E11*100</f>
        <v>99.4648805642819</v>
      </c>
      <c r="H11" s="321"/>
      <c r="I11" s="690"/>
      <c r="J11" s="321"/>
    </row>
    <row r="12" spans="1:11" ht="12.75">
      <c r="A12" s="1515" t="s">
        <v>411</v>
      </c>
      <c r="B12" s="1501"/>
      <c r="C12" s="1502">
        <v>310000</v>
      </c>
      <c r="D12" s="1502">
        <v>310000</v>
      </c>
      <c r="E12" s="1502">
        <v>310000</v>
      </c>
      <c r="F12" s="1502">
        <v>310000</v>
      </c>
      <c r="G12" s="1516">
        <f>F12/E12*100</f>
        <v>100</v>
      </c>
      <c r="H12" s="321"/>
      <c r="I12" s="324"/>
      <c r="J12" s="324"/>
      <c r="K12" s="321"/>
    </row>
    <row r="13" spans="1:11" ht="12.75">
      <c r="A13" s="1517" t="s">
        <v>129</v>
      </c>
      <c r="B13" s="773"/>
      <c r="C13" s="774">
        <v>5000</v>
      </c>
      <c r="D13" s="774">
        <v>0</v>
      </c>
      <c r="E13" s="774">
        <v>0</v>
      </c>
      <c r="F13" s="774">
        <v>0</v>
      </c>
      <c r="G13" s="1518">
        <v>0</v>
      </c>
      <c r="H13" s="321"/>
      <c r="I13" s="324"/>
      <c r="J13" s="324"/>
      <c r="K13" s="321"/>
    </row>
    <row r="14" spans="1:10" ht="12.75">
      <c r="A14" s="1519" t="s">
        <v>412</v>
      </c>
      <c r="B14" s="1520"/>
      <c r="C14" s="1521">
        <f>SUM(C10+C11+C12+C13)</f>
        <v>2172052</v>
      </c>
      <c r="D14" s="1521">
        <f>SUM(D10,D11,D12)</f>
        <v>2240987</v>
      </c>
      <c r="E14" s="1521">
        <f>SUM(E10,E11,E12)</f>
        <v>2102325</v>
      </c>
      <c r="F14" s="1521">
        <f>SUM(F10,F11,F12)</f>
        <v>2132149</v>
      </c>
      <c r="G14" s="1522">
        <f>F14/E14*100</f>
        <v>101.418619861344</v>
      </c>
      <c r="I14" s="779"/>
      <c r="J14" s="779"/>
    </row>
    <row r="15" spans="1:11" ht="12.75">
      <c r="A15" s="780"/>
      <c r="B15" s="781"/>
      <c r="C15" s="782"/>
      <c r="D15" s="782"/>
      <c r="E15" s="782"/>
      <c r="F15" s="782"/>
      <c r="G15" s="783"/>
      <c r="I15" s="779"/>
      <c r="J15" s="779"/>
      <c r="K15" s="321"/>
    </row>
    <row r="16" spans="1:10" ht="12.75">
      <c r="A16" s="784" t="s">
        <v>413</v>
      </c>
      <c r="B16" s="785"/>
      <c r="C16" s="770"/>
      <c r="D16" s="770"/>
      <c r="E16" s="770"/>
      <c r="F16" s="770"/>
      <c r="G16" s="786"/>
      <c r="I16" s="779"/>
      <c r="J16" s="779"/>
    </row>
    <row r="17" spans="1:9" ht="12.75">
      <c r="A17" s="772" t="s">
        <v>414</v>
      </c>
      <c r="B17" s="773"/>
      <c r="C17" s="774">
        <v>1106557</v>
      </c>
      <c r="D17" s="774">
        <v>1161400</v>
      </c>
      <c r="E17" s="774">
        <v>1266508.72</v>
      </c>
      <c r="F17" s="774">
        <v>1271012</v>
      </c>
      <c r="G17" s="775">
        <f>F17/E17*100</f>
        <v>100.35556644252715</v>
      </c>
      <c r="I17" s="321"/>
    </row>
    <row r="18" spans="1:10" ht="12.75">
      <c r="A18" s="768" t="s">
        <v>415</v>
      </c>
      <c r="B18" s="769"/>
      <c r="C18" s="770">
        <v>720858</v>
      </c>
      <c r="D18" s="770">
        <v>672838</v>
      </c>
      <c r="E18" s="770">
        <v>594050</v>
      </c>
      <c r="F18" s="770">
        <v>590312</v>
      </c>
      <c r="G18" s="771">
        <f>F18/E18*100</f>
        <v>99.37076003703392</v>
      </c>
      <c r="H18" s="321"/>
      <c r="J18" s="321"/>
    </row>
    <row r="19" spans="1:10" ht="12.75">
      <c r="A19" s="787" t="s">
        <v>416</v>
      </c>
      <c r="B19" s="788"/>
      <c r="C19" s="774">
        <v>339637</v>
      </c>
      <c r="D19" s="774">
        <v>406749</v>
      </c>
      <c r="E19" s="774">
        <v>194795</v>
      </c>
      <c r="F19" s="774">
        <v>194706</v>
      </c>
      <c r="G19" s="775">
        <f>F19/E19*100</f>
        <v>99.95431094227266</v>
      </c>
      <c r="H19" s="321"/>
      <c r="J19" s="321"/>
    </row>
    <row r="20" spans="1:10" ht="12.75">
      <c r="A20" s="776" t="s">
        <v>417</v>
      </c>
      <c r="B20" s="789"/>
      <c r="C20" s="777">
        <f>SUM(C17,C18,C19)</f>
        <v>2167052</v>
      </c>
      <c r="D20" s="777">
        <f>SUM(D17,D18,D19)</f>
        <v>2240987</v>
      </c>
      <c r="E20" s="777">
        <f>SUM(E17,E18,E19)</f>
        <v>2055353.72</v>
      </c>
      <c r="F20" s="777">
        <f>SUM(F17,F18,F19)</f>
        <v>2056030</v>
      </c>
      <c r="G20" s="778">
        <f>F20/E20*100</f>
        <v>100.03290333889585</v>
      </c>
      <c r="H20" s="321"/>
      <c r="J20" s="321"/>
    </row>
    <row r="21" spans="1:7" ht="12.75">
      <c r="A21" s="790"/>
      <c r="B21" s="773"/>
      <c r="C21" s="774"/>
      <c r="D21" s="774"/>
      <c r="E21" s="774"/>
      <c r="F21" s="791"/>
      <c r="G21" s="775"/>
    </row>
    <row r="22" spans="1:7" ht="12.75">
      <c r="A22" s="1614" t="s">
        <v>418</v>
      </c>
      <c r="B22" s="1614"/>
      <c r="C22" s="792">
        <f>SUM(C14-C20)</f>
        <v>5000</v>
      </c>
      <c r="D22" s="792">
        <f>SUM(D14-D20)</f>
        <v>0</v>
      </c>
      <c r="E22" s="792">
        <f>SUM(E14-E20)</f>
        <v>46971.28000000003</v>
      </c>
      <c r="F22" s="792">
        <f>SUM(F14-F20)</f>
        <v>76119</v>
      </c>
      <c r="G22" s="793"/>
    </row>
    <row r="25" spans="1:7" ht="12.75">
      <c r="A25" s="755" t="s">
        <v>419</v>
      </c>
      <c r="B25" s="756"/>
      <c r="C25" s="1615" t="s">
        <v>138</v>
      </c>
      <c r="D25" s="1615"/>
      <c r="E25" s="1615"/>
      <c r="F25" s="1616" t="s">
        <v>139</v>
      </c>
      <c r="G25" s="1617"/>
    </row>
    <row r="26" spans="1:7" ht="12.75">
      <c r="A26" s="757"/>
      <c r="B26" s="758"/>
      <c r="C26" s="759">
        <v>2012</v>
      </c>
      <c r="D26" s="759" t="s">
        <v>420</v>
      </c>
      <c r="E26" s="759" t="s">
        <v>409</v>
      </c>
      <c r="F26" s="760">
        <v>2012</v>
      </c>
      <c r="G26" s="760" t="s">
        <v>15</v>
      </c>
    </row>
    <row r="27" spans="1:7" ht="12.75">
      <c r="A27" s="757"/>
      <c r="B27" s="758"/>
      <c r="C27" s="760" t="s">
        <v>148</v>
      </c>
      <c r="D27" s="760" t="s">
        <v>148</v>
      </c>
      <c r="E27" s="760" t="s">
        <v>148</v>
      </c>
      <c r="F27" s="760" t="s">
        <v>148</v>
      </c>
      <c r="G27" s="760"/>
    </row>
    <row r="28" spans="1:7" ht="12.75">
      <c r="A28" s="761"/>
      <c r="B28" s="762"/>
      <c r="C28" s="794">
        <v>1</v>
      </c>
      <c r="D28" s="763">
        <v>2</v>
      </c>
      <c r="E28" s="794">
        <v>3</v>
      </c>
      <c r="F28" s="764">
        <v>4</v>
      </c>
      <c r="G28" s="764">
        <v>5</v>
      </c>
    </row>
    <row r="29" spans="1:7" ht="12.75">
      <c r="A29" s="1618" t="s">
        <v>421</v>
      </c>
      <c r="B29" s="1618"/>
      <c r="C29" s="795">
        <v>511592</v>
      </c>
      <c r="D29" s="796">
        <v>581304</v>
      </c>
      <c r="E29" s="797">
        <v>380876</v>
      </c>
      <c r="F29" s="798">
        <v>379890</v>
      </c>
      <c r="G29" s="799">
        <f aca="true" t="shared" si="0" ref="G29:G39">F29/E29*100</f>
        <v>99.74112309518058</v>
      </c>
    </row>
    <row r="30" spans="1:7" ht="12.75">
      <c r="A30" s="1619" t="s">
        <v>422</v>
      </c>
      <c r="B30" s="1619"/>
      <c r="C30" s="800">
        <v>300</v>
      </c>
      <c r="D30" s="796">
        <v>440</v>
      </c>
      <c r="E30" s="801">
        <v>520</v>
      </c>
      <c r="F30" s="802">
        <v>591</v>
      </c>
      <c r="G30" s="803">
        <f t="shared" si="0"/>
        <v>113.65384615384615</v>
      </c>
    </row>
    <row r="31" spans="1:7" ht="12.75">
      <c r="A31" s="1620" t="s">
        <v>423</v>
      </c>
      <c r="B31" s="1620"/>
      <c r="C31" s="800">
        <v>49116</v>
      </c>
      <c r="D31" s="796">
        <v>59269</v>
      </c>
      <c r="E31" s="800">
        <v>65339</v>
      </c>
      <c r="F31" s="796">
        <v>64829</v>
      </c>
      <c r="G31" s="804">
        <f t="shared" si="0"/>
        <v>99.21945545539418</v>
      </c>
    </row>
    <row r="32" spans="1:7" ht="12.75">
      <c r="A32" s="1621" t="s">
        <v>424</v>
      </c>
      <c r="B32" s="1621"/>
      <c r="C32" s="805">
        <v>79920</v>
      </c>
      <c r="D32" s="806">
        <v>82470</v>
      </c>
      <c r="E32" s="805">
        <v>105169</v>
      </c>
      <c r="F32" s="806">
        <v>102458</v>
      </c>
      <c r="G32" s="807">
        <f t="shared" si="0"/>
        <v>97.42224419743461</v>
      </c>
    </row>
    <row r="33" spans="1:7" ht="12.75">
      <c r="A33" s="1622" t="s">
        <v>425</v>
      </c>
      <c r="B33" s="1622"/>
      <c r="C33" s="808">
        <v>97066</v>
      </c>
      <c r="D33" s="809">
        <v>97066</v>
      </c>
      <c r="E33" s="810">
        <v>97066</v>
      </c>
      <c r="F33" s="811">
        <v>95497</v>
      </c>
      <c r="G33" s="804">
        <f t="shared" si="0"/>
        <v>98.38357406300867</v>
      </c>
    </row>
    <row r="34" spans="1:7" ht="12.75">
      <c r="A34" s="1622" t="s">
        <v>426</v>
      </c>
      <c r="B34" s="1622"/>
      <c r="C34" s="808">
        <v>302008</v>
      </c>
      <c r="D34" s="809">
        <v>237988</v>
      </c>
      <c r="E34" s="810">
        <v>185361</v>
      </c>
      <c r="F34" s="811">
        <v>179436</v>
      </c>
      <c r="G34" s="804">
        <f t="shared" si="0"/>
        <v>96.80353472413292</v>
      </c>
    </row>
    <row r="35" spans="1:7" ht="12.75">
      <c r="A35" s="1622" t="s">
        <v>427</v>
      </c>
      <c r="B35" s="1622"/>
      <c r="C35" s="808">
        <v>31300</v>
      </c>
      <c r="D35" s="809">
        <v>18500</v>
      </c>
      <c r="E35" s="808">
        <v>16000</v>
      </c>
      <c r="F35" s="809">
        <v>17522</v>
      </c>
      <c r="G35" s="812">
        <f t="shared" si="0"/>
        <v>109.51249999999999</v>
      </c>
    </row>
    <row r="36" spans="1:7" ht="12.75">
      <c r="A36" s="1623" t="s">
        <v>428</v>
      </c>
      <c r="B36" s="1623"/>
      <c r="C36" s="805">
        <v>58850</v>
      </c>
      <c r="D36" s="806">
        <v>52000</v>
      </c>
      <c r="E36" s="805">
        <v>58600</v>
      </c>
      <c r="F36" s="806">
        <v>60818</v>
      </c>
      <c r="G36" s="807">
        <f t="shared" si="0"/>
        <v>103.7849829351536</v>
      </c>
    </row>
    <row r="37" spans="1:7" ht="12.75">
      <c r="A37" s="1622" t="s">
        <v>429</v>
      </c>
      <c r="B37" s="1622"/>
      <c r="C37" s="808">
        <v>1003800</v>
      </c>
      <c r="D37" s="809">
        <v>1077800</v>
      </c>
      <c r="E37" s="810">
        <v>1105772</v>
      </c>
      <c r="F37" s="811">
        <v>1115931</v>
      </c>
      <c r="G37" s="804">
        <f t="shared" si="0"/>
        <v>100.91872465571565</v>
      </c>
    </row>
    <row r="38" spans="1:7" ht="12.75">
      <c r="A38" s="1621" t="s">
        <v>430</v>
      </c>
      <c r="B38" s="1621"/>
      <c r="C38" s="813">
        <v>33100</v>
      </c>
      <c r="D38" s="814">
        <v>34150</v>
      </c>
      <c r="E38" s="815">
        <v>40650</v>
      </c>
      <c r="F38" s="816">
        <v>39060</v>
      </c>
      <c r="G38" s="817">
        <f t="shared" si="0"/>
        <v>96.08856088560886</v>
      </c>
    </row>
    <row r="39" spans="1:7" ht="12.75">
      <c r="A39" s="1626" t="s">
        <v>431</v>
      </c>
      <c r="B39" s="1626"/>
      <c r="C39" s="1551">
        <f>C29+C30+C31+C32+C33+C34+C35+C36+C37+C38</f>
        <v>2167052</v>
      </c>
      <c r="D39" s="1551">
        <f>D29+D30+D31+D32+D33+D34+D35+D36+D37+D38</f>
        <v>2240987</v>
      </c>
      <c r="E39" s="1551">
        <f>E29+E30+E31+E32+E33+E34+E35+E36+E37+E38</f>
        <v>2055353</v>
      </c>
      <c r="F39" s="1551">
        <f>F29+F30+F31+F32+F33+F34+F35+F36+F37+F38</f>
        <v>2056032</v>
      </c>
      <c r="G39" s="1552">
        <f t="shared" si="0"/>
        <v>100.03303568778696</v>
      </c>
    </row>
    <row r="40" spans="1:7" ht="12.75">
      <c r="A40" s="1627"/>
      <c r="B40" s="1627"/>
      <c r="C40" s="818"/>
      <c r="D40" s="818"/>
      <c r="E40" s="818"/>
      <c r="F40" s="818"/>
      <c r="G40" s="818"/>
    </row>
    <row r="41" spans="1:7" ht="12.75">
      <c r="A41" s="1624"/>
      <c r="B41" s="1624"/>
      <c r="C41" s="819"/>
      <c r="D41" s="819"/>
      <c r="E41" s="805"/>
      <c r="F41" s="805"/>
      <c r="G41" s="805"/>
    </row>
    <row r="42" spans="1:7" ht="12.75">
      <c r="A42" s="1624"/>
      <c r="B42" s="1624"/>
      <c r="C42" s="819"/>
      <c r="D42" s="819"/>
      <c r="E42" s="805"/>
      <c r="F42" s="805"/>
      <c r="G42" s="805"/>
    </row>
    <row r="43" spans="1:7" ht="12.75">
      <c r="A43" s="1625"/>
      <c r="B43" s="1625"/>
      <c r="C43" s="819"/>
      <c r="D43" s="819"/>
      <c r="E43" s="819"/>
      <c r="F43" s="819"/>
      <c r="G43" s="819"/>
    </row>
  </sheetData>
  <mergeCells count="22">
    <mergeCell ref="A42:B42"/>
    <mergeCell ref="A43:B43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2:B22"/>
    <mergeCell ref="C25:E25"/>
    <mergeCell ref="F25:G25"/>
    <mergeCell ref="A29:B29"/>
    <mergeCell ref="A1:G1"/>
    <mergeCell ref="A2:G2"/>
    <mergeCell ref="C5:E5"/>
    <mergeCell ref="F5:G5"/>
  </mergeCells>
  <printOptions/>
  <pageMargins left="0.5902777777777778" right="0.39375" top="0.7875" bottom="0.7875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590"/>
  <sheetViews>
    <sheetView workbookViewId="0" topLeftCell="A556">
      <selection activeCell="X578" sqref="X578"/>
    </sheetView>
  </sheetViews>
  <sheetFormatPr defaultColWidth="9.00390625" defaultRowHeight="12.75"/>
  <cols>
    <col min="1" max="1" width="5.25390625" style="1" customWidth="1"/>
    <col min="2" max="2" width="4.625" style="1" customWidth="1"/>
    <col min="3" max="3" width="29.125" style="1" customWidth="1"/>
    <col min="4" max="7" width="0" style="1" hidden="1" customWidth="1"/>
    <col min="8" max="8" width="0" style="820" hidden="1" customWidth="1"/>
    <col min="9" max="12" width="0" style="1" hidden="1" customWidth="1"/>
    <col min="13" max="13" width="8.75390625" style="1" customWidth="1"/>
    <col min="14" max="15" width="0" style="1" hidden="1" customWidth="1"/>
    <col min="16" max="16" width="10.00390625" style="1" customWidth="1"/>
    <col min="17" max="19" width="0" style="1" hidden="1" customWidth="1"/>
    <col min="20" max="20" width="10.25390625" style="1" customWidth="1"/>
    <col min="21" max="21" width="0" style="1" hidden="1" customWidth="1"/>
    <col min="22" max="22" width="10.125" style="1" customWidth="1"/>
    <col min="23" max="23" width="9.75390625" style="1" customWidth="1"/>
    <col min="24" max="16384" width="9.00390625" style="1" customWidth="1"/>
  </cols>
  <sheetData>
    <row r="1" ht="12.75" hidden="1"/>
    <row r="2" spans="1:20" ht="15.75">
      <c r="A2" s="1628" t="s">
        <v>432</v>
      </c>
      <c r="B2" s="1628"/>
      <c r="C2" s="1628"/>
      <c r="D2" s="1628"/>
      <c r="E2" s="1628"/>
      <c r="F2" s="1628"/>
      <c r="G2" s="1628"/>
      <c r="H2" s="1628"/>
      <c r="I2" s="1628"/>
      <c r="J2" s="1628"/>
      <c r="K2" s="1628"/>
      <c r="L2" s="1628"/>
      <c r="M2" s="1628"/>
      <c r="N2" s="1628"/>
      <c r="O2" s="1628"/>
      <c r="P2" s="1628"/>
      <c r="Q2" s="1628"/>
      <c r="R2" s="1628"/>
      <c r="S2" s="1628"/>
      <c r="T2" s="1628"/>
    </row>
    <row r="3" ht="12.75">
      <c r="C3" s="821" t="s">
        <v>414</v>
      </c>
    </row>
    <row r="4" spans="10:20" ht="12.75">
      <c r="J4" s="1596" t="s">
        <v>433</v>
      </c>
      <c r="K4" s="1596"/>
      <c r="L4" s="1596"/>
      <c r="M4" s="1596"/>
      <c r="N4" s="1596"/>
      <c r="O4" s="1596"/>
      <c r="P4" s="1596"/>
      <c r="Q4" s="1596"/>
      <c r="R4" s="1596"/>
      <c r="S4" s="1596"/>
      <c r="T4" s="1596"/>
    </row>
    <row r="5" spans="1:7" ht="15.75" hidden="1">
      <c r="A5" s="1590"/>
      <c r="B5" s="1590"/>
      <c r="C5" s="1590"/>
      <c r="D5" s="1590"/>
      <c r="E5" s="1590"/>
      <c r="F5" s="4"/>
      <c r="G5" s="4" t="s">
        <v>434</v>
      </c>
    </row>
    <row r="6" spans="1:23" s="833" customFormat="1" ht="39.75" customHeight="1">
      <c r="A6" s="822" t="s">
        <v>414</v>
      </c>
      <c r="B6" s="823"/>
      <c r="C6" s="824"/>
      <c r="D6" s="825" t="s">
        <v>13</v>
      </c>
      <c r="E6" s="825" t="s">
        <v>14</v>
      </c>
      <c r="F6" s="826" t="s">
        <v>15</v>
      </c>
      <c r="G6" s="825" t="s">
        <v>16</v>
      </c>
      <c r="H6" s="826" t="s">
        <v>15</v>
      </c>
      <c r="I6" s="825" t="s">
        <v>17</v>
      </c>
      <c r="J6" s="827" t="s">
        <v>15</v>
      </c>
      <c r="K6" s="828" t="s">
        <v>20</v>
      </c>
      <c r="L6" s="829" t="s">
        <v>18</v>
      </c>
      <c r="M6" s="830">
        <v>2012</v>
      </c>
      <c r="N6" s="831" t="s">
        <v>435</v>
      </c>
      <c r="O6" s="832" t="s">
        <v>20</v>
      </c>
      <c r="P6" s="832" t="s">
        <v>21</v>
      </c>
      <c r="Q6" s="21" t="s">
        <v>22</v>
      </c>
      <c r="R6" s="21" t="s">
        <v>436</v>
      </c>
      <c r="S6" s="21" t="s">
        <v>23</v>
      </c>
      <c r="T6" s="20" t="s">
        <v>24</v>
      </c>
      <c r="U6" s="19" t="s">
        <v>437</v>
      </c>
      <c r="V6" s="22" t="s">
        <v>26</v>
      </c>
      <c r="W6" s="827" t="s">
        <v>15</v>
      </c>
    </row>
    <row r="7" spans="1:23" s="4" customFormat="1" ht="12.75">
      <c r="A7" s="834" t="s">
        <v>438</v>
      </c>
      <c r="B7" s="835"/>
      <c r="C7" s="836"/>
      <c r="D7" s="26">
        <f>D8+D11+D12</f>
        <v>154179</v>
      </c>
      <c r="E7" s="83">
        <v>47136</v>
      </c>
      <c r="F7" s="27">
        <v>30.57</v>
      </c>
      <c r="G7" s="83">
        <v>91211</v>
      </c>
      <c r="H7" s="86">
        <v>59.16</v>
      </c>
      <c r="I7" s="837">
        <f>I8+I11+I12+I9+I10</f>
        <v>124306</v>
      </c>
      <c r="J7" s="838">
        <v>80.52</v>
      </c>
      <c r="K7" s="839">
        <f>SUM(K8,K9,K10,K11,K12,K66)</f>
        <v>161065</v>
      </c>
      <c r="L7" s="839">
        <f>SUM(L8,L9,L10,L11,L12,L66)</f>
        <v>167712</v>
      </c>
      <c r="M7" s="839">
        <f>SUM(M8,M9,M10,M11,M12,M66)</f>
        <v>151640</v>
      </c>
      <c r="N7" s="839">
        <v>40234.28</v>
      </c>
      <c r="O7" s="840">
        <f>O41+O52+O56+O68-O69</f>
        <v>2600</v>
      </c>
      <c r="P7" s="839">
        <f>SUM(P8,P9,P10,P11,P12,P66)</f>
        <v>154240</v>
      </c>
      <c r="Q7" s="841">
        <f>Q8+Q9+Q10+Q11+Q13+Q14+Q16+Q29+Q36+Q40+Q48+Q66</f>
        <v>80831.01999999999</v>
      </c>
      <c r="R7" s="841">
        <f>R8+R9+R11+R12</f>
        <v>154240</v>
      </c>
      <c r="S7" s="841">
        <f>S8+S9+S10+S11+S12</f>
        <v>116340.73999999999</v>
      </c>
      <c r="T7" s="841">
        <f>SUM(T8,T9,T10,T11,T12)</f>
        <v>162046.3</v>
      </c>
      <c r="U7" s="842">
        <f>U16+U48+U66</f>
        <v>7806.3</v>
      </c>
      <c r="V7" s="841">
        <f>V8+V9+V10+V11+V12</f>
        <v>161144.35</v>
      </c>
      <c r="W7" s="843">
        <f>V7/T7*100</f>
        <v>99.44339981844696</v>
      </c>
    </row>
    <row r="8" spans="1:23" s="110" customFormat="1" ht="11.25">
      <c r="A8" s="45">
        <v>610</v>
      </c>
      <c r="B8" s="844"/>
      <c r="C8" s="845" t="s">
        <v>439</v>
      </c>
      <c r="D8" s="846">
        <v>52000</v>
      </c>
      <c r="E8" s="38">
        <v>13443</v>
      </c>
      <c r="F8" s="846"/>
      <c r="G8" s="38">
        <v>24288</v>
      </c>
      <c r="H8" s="53"/>
      <c r="I8" s="143">
        <v>35809</v>
      </c>
      <c r="J8" s="141"/>
      <c r="K8" s="177">
        <v>50000</v>
      </c>
      <c r="L8" s="98">
        <v>47976</v>
      </c>
      <c r="M8" s="847">
        <v>50000</v>
      </c>
      <c r="N8" s="848">
        <v>11366.86</v>
      </c>
      <c r="O8" s="98"/>
      <c r="P8" s="847">
        <v>50000</v>
      </c>
      <c r="Q8" s="278">
        <v>22860.57</v>
      </c>
      <c r="R8" s="849">
        <v>49646.27</v>
      </c>
      <c r="S8" s="849">
        <v>34118.03</v>
      </c>
      <c r="T8" s="849">
        <v>49646.27</v>
      </c>
      <c r="U8" s="850"/>
      <c r="V8" s="849">
        <v>47807.28</v>
      </c>
      <c r="W8" s="851"/>
    </row>
    <row r="9" spans="1:23" s="110" customFormat="1" ht="11.25">
      <c r="A9" s="852">
        <v>610</v>
      </c>
      <c r="B9" s="844"/>
      <c r="C9" s="853" t="s">
        <v>440</v>
      </c>
      <c r="D9" s="854"/>
      <c r="E9" s="51"/>
      <c r="F9" s="854"/>
      <c r="G9" s="855">
        <v>2419</v>
      </c>
      <c r="H9" s="856"/>
      <c r="I9" s="857">
        <v>2662</v>
      </c>
      <c r="J9" s="141"/>
      <c r="K9" s="858">
        <v>2662</v>
      </c>
      <c r="L9" s="859">
        <v>2662</v>
      </c>
      <c r="M9" s="847">
        <v>0</v>
      </c>
      <c r="N9" s="860">
        <v>60.3</v>
      </c>
      <c r="O9" s="98"/>
      <c r="P9" s="847">
        <v>0</v>
      </c>
      <c r="Q9" s="861">
        <v>60.3</v>
      </c>
      <c r="R9" s="861">
        <v>353.73</v>
      </c>
      <c r="S9" s="861">
        <v>353.73</v>
      </c>
      <c r="T9" s="849">
        <v>353.73</v>
      </c>
      <c r="U9" s="862"/>
      <c r="V9" s="861">
        <v>353.73</v>
      </c>
      <c r="W9" s="851"/>
    </row>
    <row r="10" spans="1:23" s="110" customFormat="1" ht="11.25">
      <c r="A10" s="863">
        <v>625</v>
      </c>
      <c r="B10" s="864" t="s">
        <v>28</v>
      </c>
      <c r="C10" s="865" t="s">
        <v>441</v>
      </c>
      <c r="D10" s="846"/>
      <c r="E10" s="38"/>
      <c r="F10" s="846"/>
      <c r="G10" s="866"/>
      <c r="H10" s="53"/>
      <c r="I10" s="866">
        <v>24</v>
      </c>
      <c r="J10" s="851"/>
      <c r="K10" s="867">
        <v>24</v>
      </c>
      <c r="L10" s="868">
        <v>24</v>
      </c>
      <c r="M10" s="173">
        <v>0</v>
      </c>
      <c r="N10" s="869">
        <v>0</v>
      </c>
      <c r="O10" s="851"/>
      <c r="P10" s="173">
        <v>0</v>
      </c>
      <c r="Q10" s="278">
        <v>0</v>
      </c>
      <c r="R10" s="278"/>
      <c r="S10" s="278">
        <v>0</v>
      </c>
      <c r="T10" s="278">
        <v>0</v>
      </c>
      <c r="U10" s="870"/>
      <c r="V10" s="278">
        <v>0</v>
      </c>
      <c r="W10" s="851"/>
    </row>
    <row r="11" spans="1:23" ht="12.75">
      <c r="A11" s="45">
        <v>620</v>
      </c>
      <c r="B11" s="46"/>
      <c r="C11" s="46" t="s">
        <v>166</v>
      </c>
      <c r="D11" s="63">
        <v>18500</v>
      </c>
      <c r="E11" s="871">
        <v>4660</v>
      </c>
      <c r="F11" s="63"/>
      <c r="G11" s="871">
        <v>7485</v>
      </c>
      <c r="H11" s="872"/>
      <c r="I11" s="871">
        <v>11642</v>
      </c>
      <c r="J11" s="61"/>
      <c r="K11" s="131">
        <v>18000</v>
      </c>
      <c r="L11" s="131">
        <v>17142</v>
      </c>
      <c r="M11" s="62">
        <v>18000</v>
      </c>
      <c r="N11" s="873">
        <v>4097.38</v>
      </c>
      <c r="O11" s="131"/>
      <c r="P11" s="62">
        <v>18000</v>
      </c>
      <c r="Q11" s="186">
        <v>8269.59</v>
      </c>
      <c r="R11" s="186">
        <v>18000</v>
      </c>
      <c r="S11" s="186">
        <v>12430.91</v>
      </c>
      <c r="T11" s="278">
        <v>18000</v>
      </c>
      <c r="U11" s="870"/>
      <c r="V11" s="186">
        <v>17509.78</v>
      </c>
      <c r="W11" s="61"/>
    </row>
    <row r="12" spans="1:23" s="5" customFormat="1" ht="12.75">
      <c r="A12" s="874">
        <v>630</v>
      </c>
      <c r="B12" s="875"/>
      <c r="C12" s="875" t="s">
        <v>337</v>
      </c>
      <c r="D12" s="876">
        <f>D13+D14+D16+D29+D36+D40+D48+D66</f>
        <v>83679</v>
      </c>
      <c r="E12" s="876">
        <v>29033</v>
      </c>
      <c r="F12" s="876"/>
      <c r="G12" s="876">
        <v>57019</v>
      </c>
      <c r="H12" s="877"/>
      <c r="I12" s="876">
        <f>I13+I14+I16+I29+I36+I40+I48+I66</f>
        <v>74169</v>
      </c>
      <c r="J12" s="878"/>
      <c r="K12" s="879">
        <f>SUM(K13,K14,K16,K29,K36,K40,K48)</f>
        <v>82579</v>
      </c>
      <c r="L12" s="879">
        <f>SUM(L13,L14,L16,L29,L36,L40,L48)</f>
        <v>90642</v>
      </c>
      <c r="M12" s="879">
        <f>SUM(M13,M14,M16,M29,M36,M40,M48)</f>
        <v>67340</v>
      </c>
      <c r="N12" s="880">
        <v>24770.04</v>
      </c>
      <c r="O12" s="879"/>
      <c r="P12" s="879">
        <f>SUM(P13,P14,P16,P29,P36,P40,P48)</f>
        <v>71540</v>
      </c>
      <c r="Q12" s="881">
        <f>Q13+Q14+Q16+Q29+Q36+Q40+Q48+Q66</f>
        <v>49640.560000000005</v>
      </c>
      <c r="R12" s="881">
        <f>R13+R14+R16+R29+R36+R40+R48+R66</f>
        <v>86240</v>
      </c>
      <c r="S12" s="881">
        <f>S13+S14+S16+S29+S36+S40+S48+S66+S15</f>
        <v>69438.06999999999</v>
      </c>
      <c r="T12" s="881">
        <f>T13+T14+T16+T29+T36+T40+T48+T66</f>
        <v>94046.29999999999</v>
      </c>
      <c r="U12" s="882"/>
      <c r="V12" s="881">
        <f>V13+V14+V16+V29+V36+V40+V48+V66+V15</f>
        <v>95473.56</v>
      </c>
      <c r="W12" s="883"/>
    </row>
    <row r="13" spans="1:23" s="5" customFormat="1" ht="12.75">
      <c r="A13" s="884" t="s">
        <v>442</v>
      </c>
      <c r="B13" s="885"/>
      <c r="C13" s="885" t="s">
        <v>168</v>
      </c>
      <c r="D13" s="886">
        <v>20</v>
      </c>
      <c r="E13" s="886">
        <v>3</v>
      </c>
      <c r="F13" s="886"/>
      <c r="G13" s="886">
        <v>3</v>
      </c>
      <c r="H13" s="887"/>
      <c r="I13" s="886">
        <v>3</v>
      </c>
      <c r="J13" s="888"/>
      <c r="K13" s="889">
        <v>20</v>
      </c>
      <c r="L13" s="889">
        <v>15</v>
      </c>
      <c r="M13" s="890">
        <v>20</v>
      </c>
      <c r="N13" s="891">
        <v>0</v>
      </c>
      <c r="O13" s="889"/>
      <c r="P13" s="890">
        <v>20</v>
      </c>
      <c r="Q13" s="892">
        <v>7.35</v>
      </c>
      <c r="R13" s="892">
        <v>20</v>
      </c>
      <c r="S13" s="892">
        <v>7.35</v>
      </c>
      <c r="T13" s="892">
        <v>20</v>
      </c>
      <c r="U13" s="870"/>
      <c r="V13" s="892">
        <v>11.6</v>
      </c>
      <c r="W13" s="44"/>
    </row>
    <row r="14" spans="1:23" s="5" customFormat="1" ht="12.75">
      <c r="A14" s="893">
        <v>632</v>
      </c>
      <c r="B14" s="894"/>
      <c r="C14" s="894" t="s">
        <v>443</v>
      </c>
      <c r="D14" s="886">
        <v>14000</v>
      </c>
      <c r="E14" s="886">
        <v>4168</v>
      </c>
      <c r="F14" s="886"/>
      <c r="G14" s="886">
        <v>8409</v>
      </c>
      <c r="H14" s="887"/>
      <c r="I14" s="886">
        <v>11243</v>
      </c>
      <c r="J14" s="888"/>
      <c r="K14" s="895">
        <v>14000</v>
      </c>
      <c r="L14" s="889">
        <v>15852</v>
      </c>
      <c r="M14" s="890">
        <v>14000</v>
      </c>
      <c r="N14" s="891">
        <v>3781.06</v>
      </c>
      <c r="O14" s="889"/>
      <c r="P14" s="890">
        <v>14000</v>
      </c>
      <c r="Q14" s="892">
        <v>7481.6</v>
      </c>
      <c r="R14" s="892">
        <v>14000</v>
      </c>
      <c r="S14" s="892">
        <v>11522.84</v>
      </c>
      <c r="T14" s="892">
        <v>14000</v>
      </c>
      <c r="U14" s="870"/>
      <c r="V14" s="892">
        <v>15066.74</v>
      </c>
      <c r="W14" s="44"/>
    </row>
    <row r="15" spans="1:23" s="909" customFormat="1" ht="12.75">
      <c r="A15" s="896">
        <v>632</v>
      </c>
      <c r="B15" s="897" t="s">
        <v>444</v>
      </c>
      <c r="C15" s="898"/>
      <c r="D15" s="899"/>
      <c r="E15" s="899"/>
      <c r="F15" s="899"/>
      <c r="G15" s="899"/>
      <c r="H15" s="900"/>
      <c r="I15" s="899"/>
      <c r="J15" s="901"/>
      <c r="K15" s="902"/>
      <c r="L15" s="903"/>
      <c r="M15" s="904"/>
      <c r="N15" s="869">
        <v>93.52</v>
      </c>
      <c r="O15" s="903"/>
      <c r="P15" s="904"/>
      <c r="Q15" s="905">
        <v>93.52</v>
      </c>
      <c r="R15" s="906">
        <v>35</v>
      </c>
      <c r="S15" s="905">
        <v>35</v>
      </c>
      <c r="T15" s="905"/>
      <c r="U15" s="907"/>
      <c r="V15" s="905">
        <v>35</v>
      </c>
      <c r="W15" s="908"/>
    </row>
    <row r="16" spans="1:23" s="5" customFormat="1" ht="12.75">
      <c r="A16" s="910">
        <v>633</v>
      </c>
      <c r="B16" s="911"/>
      <c r="C16" s="911" t="s">
        <v>445</v>
      </c>
      <c r="D16" s="886">
        <f>D21+D23+D25+D26+D27</f>
        <v>13559</v>
      </c>
      <c r="E16" s="886">
        <v>2945</v>
      </c>
      <c r="F16" s="886"/>
      <c r="G16" s="886">
        <v>6648</v>
      </c>
      <c r="H16" s="887"/>
      <c r="I16" s="886">
        <f>I17+I18+I19+I20+I21+I23+I24+I25+I26+I27+I22</f>
        <v>8790</v>
      </c>
      <c r="J16" s="888"/>
      <c r="K16" s="886">
        <f>SUM(K17,K18,K19,K20,K21,K23,K24,K25,K26,K27)</f>
        <v>12098</v>
      </c>
      <c r="L16" s="886">
        <f>SUM(L17,L18,L19,L20,L21,L23,L24,L25,L26,L27+L22)</f>
        <v>12896</v>
      </c>
      <c r="M16" s="886">
        <f>SUM(M17,M18,M19,M20,M21,M23,M24,M25,M26,M27)</f>
        <v>11100</v>
      </c>
      <c r="N16" s="886">
        <v>1603.99</v>
      </c>
      <c r="O16" s="886"/>
      <c r="P16" s="886">
        <f>SUM(P17,P18,P19,P20,P21,P23,P24,P25,P26,P27)</f>
        <v>11100</v>
      </c>
      <c r="Q16" s="912">
        <f>Q18+Q21+Q23+Q25+Q26+Q27+Q22+Q28</f>
        <v>4316</v>
      </c>
      <c r="R16" s="912">
        <f>R18+R21+R23+R25+R26+R27+R22</f>
        <v>11100</v>
      </c>
      <c r="S16" s="912">
        <f>S17+S18+S19+S20+S21+S23+S24+S25+S26+S27+S22</f>
        <v>7248.08</v>
      </c>
      <c r="T16" s="912">
        <f>SUM(T17,T18,T19,T20,T21,T23,T24,T25,T26,T27,T22)</f>
        <v>11600</v>
      </c>
      <c r="U16" s="913">
        <v>500</v>
      </c>
      <c r="V16" s="912">
        <f>V17+V18+V19+V20+V21+V23+V24+V25+V26+V27+V22</f>
        <v>9707.789999999999</v>
      </c>
      <c r="W16" s="44"/>
    </row>
    <row r="17" spans="1:23" s="5" customFormat="1" ht="12.75">
      <c r="A17" s="914">
        <v>633</v>
      </c>
      <c r="B17" s="915" t="s">
        <v>31</v>
      </c>
      <c r="C17" s="915" t="s">
        <v>446</v>
      </c>
      <c r="D17" s="38">
        <v>0</v>
      </c>
      <c r="E17" s="38">
        <v>0</v>
      </c>
      <c r="F17" s="38"/>
      <c r="G17" s="38">
        <v>0</v>
      </c>
      <c r="H17" s="53"/>
      <c r="I17" s="38"/>
      <c r="J17" s="44"/>
      <c r="K17" s="916">
        <v>0</v>
      </c>
      <c r="L17" s="851">
        <v>0</v>
      </c>
      <c r="M17" s="173">
        <v>0</v>
      </c>
      <c r="N17" s="851"/>
      <c r="O17" s="851"/>
      <c r="P17" s="173">
        <v>0</v>
      </c>
      <c r="Q17" s="278"/>
      <c r="R17" s="278">
        <v>0</v>
      </c>
      <c r="S17" s="278">
        <v>0</v>
      </c>
      <c r="T17" s="278">
        <v>0</v>
      </c>
      <c r="U17" s="917"/>
      <c r="V17" s="278">
        <v>0</v>
      </c>
      <c r="W17" s="44"/>
    </row>
    <row r="18" spans="1:23" ht="12.75">
      <c r="A18" s="45">
        <v>633</v>
      </c>
      <c r="B18" s="918" t="s">
        <v>34</v>
      </c>
      <c r="C18" s="46" t="s">
        <v>447</v>
      </c>
      <c r="D18" s="63">
        <v>0</v>
      </c>
      <c r="E18" s="63">
        <v>36</v>
      </c>
      <c r="F18" s="63"/>
      <c r="G18" s="63">
        <v>36</v>
      </c>
      <c r="H18" s="92"/>
      <c r="I18" s="63">
        <v>225</v>
      </c>
      <c r="J18" s="61"/>
      <c r="K18" s="916">
        <v>225</v>
      </c>
      <c r="L18" s="131">
        <v>225</v>
      </c>
      <c r="M18" s="62">
        <v>200</v>
      </c>
      <c r="N18" s="131">
        <v>85</v>
      </c>
      <c r="O18" s="131"/>
      <c r="P18" s="62">
        <v>200</v>
      </c>
      <c r="Q18" s="186">
        <v>85</v>
      </c>
      <c r="R18" s="186">
        <v>200</v>
      </c>
      <c r="S18" s="186">
        <v>85</v>
      </c>
      <c r="T18" s="278">
        <v>200</v>
      </c>
      <c r="U18" s="917"/>
      <c r="V18" s="186">
        <v>85</v>
      </c>
      <c r="W18" s="61"/>
    </row>
    <row r="19" spans="1:23" ht="12.75">
      <c r="A19" s="45">
        <v>633</v>
      </c>
      <c r="B19" s="918" t="s">
        <v>68</v>
      </c>
      <c r="C19" s="46" t="s">
        <v>448</v>
      </c>
      <c r="D19" s="63">
        <v>0</v>
      </c>
      <c r="E19" s="63">
        <v>160</v>
      </c>
      <c r="F19" s="63"/>
      <c r="G19" s="63">
        <v>160</v>
      </c>
      <c r="H19" s="92"/>
      <c r="I19" s="63">
        <v>160</v>
      </c>
      <c r="J19" s="61"/>
      <c r="K19" s="916">
        <v>160</v>
      </c>
      <c r="L19" s="131">
        <v>569</v>
      </c>
      <c r="M19" s="62">
        <v>0</v>
      </c>
      <c r="N19" s="131"/>
      <c r="O19" s="131"/>
      <c r="P19" s="62">
        <v>0</v>
      </c>
      <c r="Q19" s="186"/>
      <c r="R19" s="186"/>
      <c r="S19" s="186"/>
      <c r="T19" s="278">
        <v>0</v>
      </c>
      <c r="U19" s="917"/>
      <c r="V19" s="186"/>
      <c r="W19" s="61"/>
    </row>
    <row r="20" spans="1:23" ht="12.75">
      <c r="A20" s="45">
        <v>633</v>
      </c>
      <c r="B20" s="918" t="s">
        <v>73</v>
      </c>
      <c r="C20" s="46" t="s">
        <v>449</v>
      </c>
      <c r="D20" s="63">
        <v>0</v>
      </c>
      <c r="E20" s="63">
        <v>0</v>
      </c>
      <c r="F20" s="63"/>
      <c r="G20" s="63">
        <v>0</v>
      </c>
      <c r="H20" s="92"/>
      <c r="I20" s="63">
        <v>0</v>
      </c>
      <c r="J20" s="61"/>
      <c r="K20" s="916">
        <v>0</v>
      </c>
      <c r="L20" s="131">
        <v>0</v>
      </c>
      <c r="M20" s="62">
        <v>0</v>
      </c>
      <c r="N20" s="131"/>
      <c r="O20" s="131"/>
      <c r="P20" s="62">
        <v>0</v>
      </c>
      <c r="Q20" s="186"/>
      <c r="R20" s="186"/>
      <c r="S20" s="186">
        <v>0</v>
      </c>
      <c r="T20" s="278">
        <v>0</v>
      </c>
      <c r="U20" s="917"/>
      <c r="V20" s="186">
        <v>0</v>
      </c>
      <c r="W20" s="61"/>
    </row>
    <row r="21" spans="1:23" ht="12.75">
      <c r="A21" s="45">
        <v>633</v>
      </c>
      <c r="B21" s="46" t="s">
        <v>73</v>
      </c>
      <c r="C21" s="46" t="s">
        <v>450</v>
      </c>
      <c r="D21" s="63">
        <v>8000</v>
      </c>
      <c r="E21" s="63">
        <v>1414</v>
      </c>
      <c r="F21" s="63"/>
      <c r="G21" s="63">
        <v>2397</v>
      </c>
      <c r="H21" s="92"/>
      <c r="I21" s="63">
        <v>3628</v>
      </c>
      <c r="J21" s="61"/>
      <c r="K21" s="916">
        <v>6000</v>
      </c>
      <c r="L21" s="131">
        <v>5779</v>
      </c>
      <c r="M21" s="62">
        <v>6000</v>
      </c>
      <c r="N21" s="873">
        <v>678.66</v>
      </c>
      <c r="O21" s="131"/>
      <c r="P21" s="62">
        <v>6000</v>
      </c>
      <c r="Q21" s="186">
        <v>2251.53</v>
      </c>
      <c r="R21" s="186">
        <v>5925.1</v>
      </c>
      <c r="S21" s="186">
        <v>4922.18</v>
      </c>
      <c r="T21" s="278">
        <v>6425.1</v>
      </c>
      <c r="U21" s="919">
        <v>500</v>
      </c>
      <c r="V21" s="186">
        <v>6332.82</v>
      </c>
      <c r="W21" s="61"/>
    </row>
    <row r="22" spans="1:23" ht="12.75">
      <c r="A22" s="852">
        <v>633</v>
      </c>
      <c r="B22" s="920" t="s">
        <v>73</v>
      </c>
      <c r="C22" s="920" t="s">
        <v>451</v>
      </c>
      <c r="D22" s="63"/>
      <c r="E22" s="921">
        <v>95</v>
      </c>
      <c r="F22" s="63"/>
      <c r="G22" s="922">
        <v>95</v>
      </c>
      <c r="H22" s="92"/>
      <c r="I22" s="922">
        <v>95</v>
      </c>
      <c r="J22" s="61"/>
      <c r="K22" s="923">
        <v>95</v>
      </c>
      <c r="L22" s="924">
        <v>95</v>
      </c>
      <c r="M22" s="62">
        <v>0</v>
      </c>
      <c r="N22" s="925">
        <v>122.04</v>
      </c>
      <c r="O22" s="131"/>
      <c r="P22" s="62">
        <v>0</v>
      </c>
      <c r="Q22" s="926">
        <v>122.04</v>
      </c>
      <c r="R22" s="927">
        <v>178.9</v>
      </c>
      <c r="S22" s="926">
        <v>178.9</v>
      </c>
      <c r="T22" s="278">
        <v>178.9</v>
      </c>
      <c r="U22" s="919"/>
      <c r="V22" s="926">
        <v>178.9</v>
      </c>
      <c r="W22" s="928"/>
    </row>
    <row r="23" spans="1:23" ht="12.75">
      <c r="A23" s="45">
        <v>633</v>
      </c>
      <c r="B23" s="46" t="s">
        <v>452</v>
      </c>
      <c r="C23" s="46" t="s">
        <v>453</v>
      </c>
      <c r="D23" s="63">
        <v>2450</v>
      </c>
      <c r="E23" s="63">
        <v>1328</v>
      </c>
      <c r="F23" s="63"/>
      <c r="G23" s="63">
        <v>1413</v>
      </c>
      <c r="H23" s="92"/>
      <c r="I23" s="63">
        <v>1856</v>
      </c>
      <c r="J23" s="61"/>
      <c r="K23" s="916">
        <v>2300</v>
      </c>
      <c r="L23" s="131">
        <v>3020</v>
      </c>
      <c r="M23" s="62">
        <v>2300</v>
      </c>
      <c r="N23" s="873">
        <v>329.31</v>
      </c>
      <c r="O23" s="131"/>
      <c r="P23" s="62">
        <v>2300</v>
      </c>
      <c r="Q23" s="186">
        <v>1064.57</v>
      </c>
      <c r="R23" s="186">
        <v>2300</v>
      </c>
      <c r="S23" s="186">
        <v>1491.99</v>
      </c>
      <c r="T23" s="278">
        <v>2300</v>
      </c>
      <c r="U23" s="917"/>
      <c r="V23" s="186">
        <v>2224.48</v>
      </c>
      <c r="W23" s="61"/>
    </row>
    <row r="24" spans="1:23" ht="12.75">
      <c r="A24" s="45">
        <v>633</v>
      </c>
      <c r="B24" s="46" t="s">
        <v>454</v>
      </c>
      <c r="C24" s="46" t="s">
        <v>455</v>
      </c>
      <c r="D24" s="63">
        <v>0</v>
      </c>
      <c r="E24" s="63">
        <v>313</v>
      </c>
      <c r="F24" s="63"/>
      <c r="G24" s="63">
        <v>313</v>
      </c>
      <c r="H24" s="92"/>
      <c r="I24" s="63">
        <v>313</v>
      </c>
      <c r="J24" s="61"/>
      <c r="K24" s="916">
        <v>313</v>
      </c>
      <c r="L24" s="131">
        <v>313</v>
      </c>
      <c r="M24" s="62">
        <v>0</v>
      </c>
      <c r="N24" s="873"/>
      <c r="O24" s="131"/>
      <c r="P24" s="62">
        <v>0</v>
      </c>
      <c r="Q24" s="186"/>
      <c r="R24" s="186"/>
      <c r="S24" s="186"/>
      <c r="T24" s="278">
        <v>0</v>
      </c>
      <c r="U24" s="917"/>
      <c r="V24" s="186"/>
      <c r="W24" s="61"/>
    </row>
    <row r="25" spans="1:23" ht="12.75">
      <c r="A25" s="45">
        <v>633</v>
      </c>
      <c r="B25" s="46" t="s">
        <v>456</v>
      </c>
      <c r="C25" s="46" t="s">
        <v>457</v>
      </c>
      <c r="D25" s="63">
        <v>109</v>
      </c>
      <c r="E25" s="63">
        <v>2</v>
      </c>
      <c r="F25" s="63"/>
      <c r="G25" s="63">
        <v>2</v>
      </c>
      <c r="H25" s="92"/>
      <c r="I25" s="63">
        <v>34</v>
      </c>
      <c r="J25" s="61"/>
      <c r="K25" s="916">
        <v>100</v>
      </c>
      <c r="L25" s="131">
        <v>19</v>
      </c>
      <c r="M25" s="62">
        <v>100</v>
      </c>
      <c r="N25" s="873"/>
      <c r="O25" s="131"/>
      <c r="P25" s="62">
        <v>100</v>
      </c>
      <c r="Q25" s="186">
        <v>13.94</v>
      </c>
      <c r="R25" s="186">
        <v>100</v>
      </c>
      <c r="S25" s="186">
        <v>94.27</v>
      </c>
      <c r="T25" s="278">
        <v>100</v>
      </c>
      <c r="U25" s="929"/>
      <c r="V25" s="186">
        <v>99.56</v>
      </c>
      <c r="W25" s="61"/>
    </row>
    <row r="26" spans="1:23" ht="12.75">
      <c r="A26" s="45">
        <v>633</v>
      </c>
      <c r="B26" s="46" t="s">
        <v>44</v>
      </c>
      <c r="C26" s="46" t="s">
        <v>458</v>
      </c>
      <c r="D26" s="63">
        <v>1500</v>
      </c>
      <c r="E26" s="63">
        <v>320</v>
      </c>
      <c r="F26" s="63"/>
      <c r="G26" s="63">
        <v>1481</v>
      </c>
      <c r="H26" s="92"/>
      <c r="I26" s="63">
        <v>1481</v>
      </c>
      <c r="J26" s="61"/>
      <c r="K26" s="62">
        <v>1500</v>
      </c>
      <c r="L26" s="131">
        <v>1481</v>
      </c>
      <c r="M26" s="62">
        <v>1500</v>
      </c>
      <c r="N26" s="873">
        <v>288</v>
      </c>
      <c r="O26" s="131"/>
      <c r="P26" s="62">
        <v>1500</v>
      </c>
      <c r="Q26" s="186">
        <v>288</v>
      </c>
      <c r="R26" s="186">
        <v>1500</v>
      </c>
      <c r="S26" s="186">
        <v>288</v>
      </c>
      <c r="T26" s="278">
        <f>P26-U25</f>
        <v>1500</v>
      </c>
      <c r="V26" s="186">
        <v>288</v>
      </c>
      <c r="W26" s="61"/>
    </row>
    <row r="27" spans="1:23" ht="12.75">
      <c r="A27" s="96">
        <v>633</v>
      </c>
      <c r="B27" s="145" t="s">
        <v>459</v>
      </c>
      <c r="C27" s="145" t="s">
        <v>460</v>
      </c>
      <c r="D27" s="63">
        <v>1500</v>
      </c>
      <c r="E27" s="63">
        <v>691</v>
      </c>
      <c r="F27" s="63"/>
      <c r="G27" s="63">
        <v>787</v>
      </c>
      <c r="H27" s="930"/>
      <c r="I27" s="63">
        <v>998</v>
      </c>
      <c r="J27" s="61"/>
      <c r="K27" s="62">
        <v>1500</v>
      </c>
      <c r="L27" s="131">
        <v>1395</v>
      </c>
      <c r="M27" s="62">
        <v>1000</v>
      </c>
      <c r="N27" s="873"/>
      <c r="O27" s="131"/>
      <c r="P27" s="62">
        <v>1000</v>
      </c>
      <c r="Q27" s="186">
        <v>389.94</v>
      </c>
      <c r="R27" s="186">
        <v>896</v>
      </c>
      <c r="S27" s="186">
        <v>187.74</v>
      </c>
      <c r="T27" s="278">
        <v>896</v>
      </c>
      <c r="U27" s="929"/>
      <c r="V27" s="186">
        <v>499.03</v>
      </c>
      <c r="W27" s="61"/>
    </row>
    <row r="28" spans="1:23" s="935" customFormat="1" ht="12.75">
      <c r="A28" s="852">
        <v>633</v>
      </c>
      <c r="B28" s="920" t="s">
        <v>459</v>
      </c>
      <c r="C28" s="920" t="s">
        <v>461</v>
      </c>
      <c r="D28" s="922"/>
      <c r="E28" s="922"/>
      <c r="F28" s="922"/>
      <c r="G28" s="922"/>
      <c r="H28" s="931"/>
      <c r="I28" s="922"/>
      <c r="J28" s="932"/>
      <c r="K28" s="933"/>
      <c r="L28" s="934"/>
      <c r="M28" s="933"/>
      <c r="N28" s="925">
        <v>100.98</v>
      </c>
      <c r="O28" s="934"/>
      <c r="P28" s="933"/>
      <c r="Q28" s="926">
        <v>100.98</v>
      </c>
      <c r="R28" s="926"/>
      <c r="S28" s="926"/>
      <c r="T28" s="905"/>
      <c r="U28" s="907"/>
      <c r="V28" s="926"/>
      <c r="W28" s="932"/>
    </row>
    <row r="29" spans="1:23" s="5" customFormat="1" ht="12.75">
      <c r="A29" s="910">
        <v>634</v>
      </c>
      <c r="B29" s="911"/>
      <c r="C29" s="911" t="s">
        <v>462</v>
      </c>
      <c r="D29" s="886">
        <f>D30+D32+D33+D34+D35</f>
        <v>6200</v>
      </c>
      <c r="E29" s="886">
        <v>2135</v>
      </c>
      <c r="F29" s="886"/>
      <c r="G29" s="886">
        <v>3254</v>
      </c>
      <c r="H29" s="887"/>
      <c r="I29" s="886">
        <f>I30+I32+I33+I34+I35</f>
        <v>5505</v>
      </c>
      <c r="J29" s="888"/>
      <c r="K29" s="895">
        <f>SUM(K30,K32,K33,K34,K35)</f>
        <v>7458</v>
      </c>
      <c r="L29" s="895">
        <f>SUM(L30,L32,L33,L34,L35)</f>
        <v>8769</v>
      </c>
      <c r="M29" s="895">
        <f>SUM(M30,M32,M33,M34,M35)</f>
        <v>6970</v>
      </c>
      <c r="N29" s="936"/>
      <c r="O29" s="895"/>
      <c r="P29" s="895">
        <f>SUM(P30,P32,P33,P34,P35)</f>
        <v>6970</v>
      </c>
      <c r="Q29" s="937">
        <f>Q30+Q31+Q32+Q34+Q33+Q35</f>
        <v>3903.5300000000007</v>
      </c>
      <c r="R29" s="937">
        <f>R30+R32+R33+R34+R35+R31</f>
        <v>6983</v>
      </c>
      <c r="S29" s="937">
        <f>S30+S32+S33+S34+S35+S31</f>
        <v>5533.32</v>
      </c>
      <c r="T29" s="937">
        <f>SUM(T30,T32,T33,T34,T35,T31)</f>
        <v>6983</v>
      </c>
      <c r="U29" s="938"/>
      <c r="V29" s="937">
        <f>V30+V32+V33+V34+V35+V31</f>
        <v>8639.720000000001</v>
      </c>
      <c r="W29" s="44"/>
    </row>
    <row r="30" spans="1:23" ht="12.75">
      <c r="A30" s="256">
        <v>634</v>
      </c>
      <c r="B30" s="939" t="s">
        <v>31</v>
      </c>
      <c r="C30" s="939" t="s">
        <v>463</v>
      </c>
      <c r="D30" s="63">
        <v>3600</v>
      </c>
      <c r="E30" s="63">
        <v>1283</v>
      </c>
      <c r="F30" s="63"/>
      <c r="G30" s="63">
        <v>2546</v>
      </c>
      <c r="H30" s="92"/>
      <c r="I30" s="63">
        <v>3708</v>
      </c>
      <c r="J30" s="61"/>
      <c r="K30" s="62">
        <v>4488</v>
      </c>
      <c r="L30" s="131">
        <v>6177</v>
      </c>
      <c r="M30" s="62">
        <v>4500</v>
      </c>
      <c r="N30" s="873"/>
      <c r="O30" s="131"/>
      <c r="P30" s="62">
        <v>4500</v>
      </c>
      <c r="Q30" s="186">
        <v>2333.5</v>
      </c>
      <c r="R30" s="186">
        <v>4470</v>
      </c>
      <c r="S30" s="186">
        <v>3722.85</v>
      </c>
      <c r="T30" s="278">
        <f>R30+U30</f>
        <v>4470</v>
      </c>
      <c r="U30" s="919"/>
      <c r="V30" s="186">
        <v>5211.19</v>
      </c>
      <c r="W30" s="61"/>
    </row>
    <row r="31" spans="1:23" s="935" customFormat="1" ht="12.75">
      <c r="A31" s="940">
        <v>634</v>
      </c>
      <c r="B31" s="941" t="s">
        <v>31</v>
      </c>
      <c r="C31" s="941" t="s">
        <v>464</v>
      </c>
      <c r="D31" s="922"/>
      <c r="E31" s="922"/>
      <c r="F31" s="922"/>
      <c r="G31" s="922"/>
      <c r="H31" s="942"/>
      <c r="I31" s="922"/>
      <c r="J31" s="932"/>
      <c r="K31" s="933"/>
      <c r="L31" s="934"/>
      <c r="M31" s="933"/>
      <c r="N31" s="925">
        <v>76.76</v>
      </c>
      <c r="O31" s="934"/>
      <c r="P31" s="933"/>
      <c r="Q31" s="926">
        <v>76.76</v>
      </c>
      <c r="R31" s="927">
        <v>43</v>
      </c>
      <c r="S31" s="926">
        <v>42.93</v>
      </c>
      <c r="T31" s="905">
        <v>43</v>
      </c>
      <c r="U31" s="919"/>
      <c r="V31" s="926">
        <v>42.93</v>
      </c>
      <c r="W31" s="932"/>
    </row>
    <row r="32" spans="1:23" ht="12.75">
      <c r="A32" s="45">
        <v>634</v>
      </c>
      <c r="B32" s="46" t="s">
        <v>34</v>
      </c>
      <c r="C32" s="46" t="s">
        <v>465</v>
      </c>
      <c r="D32" s="63">
        <v>1000</v>
      </c>
      <c r="E32" s="63">
        <v>622</v>
      </c>
      <c r="F32" s="63"/>
      <c r="G32" s="63">
        <v>478</v>
      </c>
      <c r="H32" s="92"/>
      <c r="I32" s="63">
        <v>1522</v>
      </c>
      <c r="J32" s="61"/>
      <c r="K32" s="62">
        <v>1800</v>
      </c>
      <c r="L32" s="131">
        <v>1623</v>
      </c>
      <c r="M32" s="62">
        <v>1500</v>
      </c>
      <c r="N32" s="873">
        <v>404.57</v>
      </c>
      <c r="O32" s="131"/>
      <c r="P32" s="62">
        <v>1500</v>
      </c>
      <c r="Q32" s="186">
        <v>1186.89</v>
      </c>
      <c r="R32" s="186">
        <v>1500</v>
      </c>
      <c r="S32" s="186">
        <v>1420.72</v>
      </c>
      <c r="T32" s="278">
        <v>1500</v>
      </c>
      <c r="U32" s="870"/>
      <c r="V32" s="186">
        <v>2213.16</v>
      </c>
      <c r="W32" s="61"/>
    </row>
    <row r="33" spans="1:23" ht="12.75">
      <c r="A33" s="45">
        <v>634</v>
      </c>
      <c r="B33" s="46" t="s">
        <v>28</v>
      </c>
      <c r="C33" s="46" t="s">
        <v>466</v>
      </c>
      <c r="D33" s="63">
        <v>500</v>
      </c>
      <c r="E33" s="63">
        <v>78</v>
      </c>
      <c r="F33" s="63"/>
      <c r="G33" s="63">
        <v>78</v>
      </c>
      <c r="H33" s="92"/>
      <c r="I33" s="63">
        <v>117</v>
      </c>
      <c r="J33" s="61"/>
      <c r="K33" s="131">
        <v>500</v>
      </c>
      <c r="L33" s="131">
        <v>296</v>
      </c>
      <c r="M33" s="62">
        <v>300</v>
      </c>
      <c r="N33" s="873"/>
      <c r="O33" s="131"/>
      <c r="P33" s="62">
        <v>300</v>
      </c>
      <c r="Q33" s="186">
        <v>77.88</v>
      </c>
      <c r="R33" s="186">
        <v>300</v>
      </c>
      <c r="S33" s="186">
        <v>116.82</v>
      </c>
      <c r="T33" s="278">
        <v>300</v>
      </c>
      <c r="U33" s="870"/>
      <c r="V33" s="186">
        <v>256.64</v>
      </c>
      <c r="W33" s="61"/>
    </row>
    <row r="34" spans="1:23" ht="12.75">
      <c r="A34" s="45">
        <v>634</v>
      </c>
      <c r="B34" s="46" t="s">
        <v>55</v>
      </c>
      <c r="C34" s="46" t="s">
        <v>467</v>
      </c>
      <c r="D34" s="63">
        <v>1000</v>
      </c>
      <c r="E34" s="63">
        <v>0</v>
      </c>
      <c r="F34" s="63"/>
      <c r="G34" s="63">
        <v>0</v>
      </c>
      <c r="H34" s="92"/>
      <c r="I34" s="63">
        <v>0</v>
      </c>
      <c r="J34" s="61"/>
      <c r="K34" s="131">
        <v>500</v>
      </c>
      <c r="L34" s="131">
        <v>514</v>
      </c>
      <c r="M34" s="62">
        <v>500</v>
      </c>
      <c r="N34" s="873"/>
      <c r="O34" s="131"/>
      <c r="P34" s="62">
        <v>500</v>
      </c>
      <c r="Q34" s="186">
        <v>70</v>
      </c>
      <c r="R34" s="186">
        <v>500</v>
      </c>
      <c r="S34" s="186">
        <v>70</v>
      </c>
      <c r="T34" s="278">
        <f>R34+U34</f>
        <v>500</v>
      </c>
      <c r="U34" s="919"/>
      <c r="V34" s="186">
        <v>751.6</v>
      </c>
      <c r="W34" s="61"/>
    </row>
    <row r="35" spans="1:23" ht="12.75">
      <c r="A35" s="96">
        <v>634</v>
      </c>
      <c r="B35" s="145" t="s">
        <v>68</v>
      </c>
      <c r="C35" s="145" t="s">
        <v>468</v>
      </c>
      <c r="D35" s="63">
        <v>100</v>
      </c>
      <c r="E35" s="63">
        <v>152</v>
      </c>
      <c r="F35" s="63"/>
      <c r="G35" s="63">
        <v>152</v>
      </c>
      <c r="H35" s="92"/>
      <c r="I35" s="63">
        <v>158</v>
      </c>
      <c r="J35" s="61"/>
      <c r="K35" s="131">
        <v>170</v>
      </c>
      <c r="L35" s="131">
        <v>159</v>
      </c>
      <c r="M35" s="62">
        <v>170</v>
      </c>
      <c r="N35" s="873">
        <v>101.5</v>
      </c>
      <c r="O35" s="131"/>
      <c r="P35" s="62">
        <v>170</v>
      </c>
      <c r="Q35" s="186">
        <v>158.5</v>
      </c>
      <c r="R35" s="186">
        <v>170</v>
      </c>
      <c r="S35" s="186">
        <v>160</v>
      </c>
      <c r="T35" s="278">
        <v>170</v>
      </c>
      <c r="U35" s="870"/>
      <c r="V35" s="186">
        <v>164.2</v>
      </c>
      <c r="W35" s="61"/>
    </row>
    <row r="36" spans="1:23" s="5" customFormat="1" ht="12.75">
      <c r="A36" s="943">
        <v>635</v>
      </c>
      <c r="B36" s="944"/>
      <c r="C36" s="944" t="s">
        <v>469</v>
      </c>
      <c r="D36" s="886">
        <f>D37+D38+D39</f>
        <v>3600</v>
      </c>
      <c r="E36" s="886">
        <v>62</v>
      </c>
      <c r="F36" s="886"/>
      <c r="G36" s="886">
        <v>1453</v>
      </c>
      <c r="H36" s="887"/>
      <c r="I36" s="886">
        <f>I37+I38+I39</f>
        <v>1453</v>
      </c>
      <c r="J36" s="888"/>
      <c r="K36" s="895">
        <f>SUM(K37,K38,K39)</f>
        <v>1900</v>
      </c>
      <c r="L36" s="895">
        <f>SUM(L37,L38,L39)</f>
        <v>2101</v>
      </c>
      <c r="M36" s="895">
        <f>SUM(M37,M38,M39)</f>
        <v>1900</v>
      </c>
      <c r="N36" s="895">
        <v>200.63</v>
      </c>
      <c r="O36" s="895"/>
      <c r="P36" s="895">
        <f>SUM(P37,P38,P39)</f>
        <v>1900</v>
      </c>
      <c r="Q36" s="937">
        <f>Q37+Q38+Q39</f>
        <v>372.46000000000004</v>
      </c>
      <c r="R36" s="937">
        <f>R37+R38+R39</f>
        <v>1637</v>
      </c>
      <c r="S36" s="937">
        <f>S37+S38+S39</f>
        <v>590.22</v>
      </c>
      <c r="T36" s="937">
        <f>SUM(T37,T38,T39)</f>
        <v>1637</v>
      </c>
      <c r="U36" s="945"/>
      <c r="V36" s="937">
        <f>V37+V38+V39</f>
        <v>885.85</v>
      </c>
      <c r="W36" s="44"/>
    </row>
    <row r="37" spans="1:23" ht="12.75">
      <c r="A37" s="256">
        <v>635</v>
      </c>
      <c r="B37" s="939" t="s">
        <v>34</v>
      </c>
      <c r="C37" s="939" t="s">
        <v>470</v>
      </c>
      <c r="D37" s="63">
        <v>100</v>
      </c>
      <c r="E37" s="63">
        <v>0</v>
      </c>
      <c r="F37" s="63"/>
      <c r="G37" s="63">
        <v>0</v>
      </c>
      <c r="H37" s="92"/>
      <c r="I37" s="63">
        <v>0</v>
      </c>
      <c r="J37" s="61"/>
      <c r="K37" s="131">
        <v>100</v>
      </c>
      <c r="L37" s="131">
        <v>0</v>
      </c>
      <c r="M37" s="62">
        <v>100</v>
      </c>
      <c r="N37" s="131">
        <v>42</v>
      </c>
      <c r="O37" s="131"/>
      <c r="P37" s="62">
        <v>100</v>
      </c>
      <c r="Q37" s="186">
        <v>42</v>
      </c>
      <c r="R37" s="186">
        <v>100</v>
      </c>
      <c r="S37" s="186">
        <v>42</v>
      </c>
      <c r="T37" s="278">
        <v>100</v>
      </c>
      <c r="U37" s="870"/>
      <c r="V37" s="186">
        <v>42</v>
      </c>
      <c r="W37" s="61"/>
    </row>
    <row r="38" spans="1:23" ht="12.75">
      <c r="A38" s="45">
        <v>635</v>
      </c>
      <c r="B38" s="46" t="s">
        <v>55</v>
      </c>
      <c r="C38" s="46" t="s">
        <v>471</v>
      </c>
      <c r="D38" s="63">
        <v>500</v>
      </c>
      <c r="E38" s="63">
        <v>0</v>
      </c>
      <c r="F38" s="63"/>
      <c r="G38" s="63">
        <v>755</v>
      </c>
      <c r="H38" s="92"/>
      <c r="I38" s="63">
        <v>755</v>
      </c>
      <c r="J38" s="61"/>
      <c r="K38" s="131">
        <v>800</v>
      </c>
      <c r="L38" s="131">
        <v>771</v>
      </c>
      <c r="M38" s="62">
        <v>800</v>
      </c>
      <c r="N38" s="131"/>
      <c r="O38" s="131"/>
      <c r="P38" s="62">
        <v>800</v>
      </c>
      <c r="Q38" s="186">
        <v>19.55</v>
      </c>
      <c r="R38" s="186">
        <v>550</v>
      </c>
      <c r="S38" s="186">
        <v>120.78</v>
      </c>
      <c r="T38" s="278">
        <v>550</v>
      </c>
      <c r="U38" s="929"/>
      <c r="V38" s="186">
        <v>184.78</v>
      </c>
      <c r="W38" s="61"/>
    </row>
    <row r="39" spans="1:23" ht="12.75">
      <c r="A39" s="96">
        <v>635</v>
      </c>
      <c r="B39" s="145" t="s">
        <v>73</v>
      </c>
      <c r="C39" s="145" t="s">
        <v>472</v>
      </c>
      <c r="D39" s="63">
        <v>3000</v>
      </c>
      <c r="E39" s="63">
        <v>62</v>
      </c>
      <c r="F39" s="63"/>
      <c r="G39" s="63">
        <v>698</v>
      </c>
      <c r="H39" s="92"/>
      <c r="I39" s="63">
        <v>698</v>
      </c>
      <c r="J39" s="61"/>
      <c r="K39" s="62">
        <v>1000</v>
      </c>
      <c r="L39" s="131">
        <v>1330</v>
      </c>
      <c r="M39" s="62">
        <v>1000</v>
      </c>
      <c r="N39" s="873">
        <v>158.63</v>
      </c>
      <c r="O39" s="131"/>
      <c r="P39" s="62">
        <v>1000</v>
      </c>
      <c r="Q39" s="186">
        <v>310.91</v>
      </c>
      <c r="R39" s="186">
        <v>987</v>
      </c>
      <c r="S39" s="186">
        <v>427.44</v>
      </c>
      <c r="T39" s="278">
        <v>987</v>
      </c>
      <c r="U39" s="929"/>
      <c r="V39" s="186">
        <v>659.07</v>
      </c>
      <c r="W39" s="61"/>
    </row>
    <row r="40" spans="1:23" s="5" customFormat="1" ht="12.75">
      <c r="A40" s="943">
        <v>636</v>
      </c>
      <c r="B40" s="944"/>
      <c r="C40" s="944" t="s">
        <v>473</v>
      </c>
      <c r="D40" s="886">
        <f>D41+D42+D43</f>
        <v>1200</v>
      </c>
      <c r="E40" s="886">
        <v>299</v>
      </c>
      <c r="F40" s="886"/>
      <c r="G40" s="886">
        <v>608</v>
      </c>
      <c r="H40" s="887"/>
      <c r="I40" s="886">
        <f>I41+I42+I43</f>
        <v>608</v>
      </c>
      <c r="J40" s="888"/>
      <c r="K40" s="895">
        <f>SUM(K41,K42,K43)</f>
        <v>1000</v>
      </c>
      <c r="L40" s="895">
        <f>SUM(L41,L42,L43)</f>
        <v>1006</v>
      </c>
      <c r="M40" s="895">
        <f>SUM(M41,M42,M43)</f>
        <v>1000</v>
      </c>
      <c r="N40" s="895">
        <v>510</v>
      </c>
      <c r="O40" s="946"/>
      <c r="P40" s="895">
        <f>SUM(P41,P42,P43)</f>
        <v>1200</v>
      </c>
      <c r="Q40" s="937">
        <v>807.96</v>
      </c>
      <c r="R40" s="937">
        <f>R41+R42+R43</f>
        <v>1200</v>
      </c>
      <c r="S40" s="937">
        <f>S41+S42+S43</f>
        <v>807.96</v>
      </c>
      <c r="T40" s="937">
        <f>SUM(T41,T42,T43)</f>
        <v>1200</v>
      </c>
      <c r="U40" s="947"/>
      <c r="V40" s="937">
        <f>V41+V42+V43</f>
        <v>1216.36</v>
      </c>
      <c r="W40" s="948"/>
    </row>
    <row r="41" spans="1:23" ht="12.75">
      <c r="A41" s="256">
        <v>636</v>
      </c>
      <c r="B41" s="939" t="s">
        <v>31</v>
      </c>
      <c r="C41" s="939" t="s">
        <v>472</v>
      </c>
      <c r="D41" s="63">
        <v>1200</v>
      </c>
      <c r="E41" s="63">
        <v>299</v>
      </c>
      <c r="F41" s="63"/>
      <c r="G41" s="63">
        <v>608</v>
      </c>
      <c r="H41" s="92"/>
      <c r="I41" s="63">
        <v>608</v>
      </c>
      <c r="J41" s="61"/>
      <c r="K41" s="62">
        <v>1000</v>
      </c>
      <c r="L41" s="131">
        <v>1006</v>
      </c>
      <c r="M41" s="62">
        <v>1000</v>
      </c>
      <c r="N41" s="131">
        <v>510</v>
      </c>
      <c r="O41" s="949">
        <v>200</v>
      </c>
      <c r="P41" s="62">
        <v>1200</v>
      </c>
      <c r="Q41" s="186">
        <v>807.96</v>
      </c>
      <c r="R41" s="186">
        <v>1200</v>
      </c>
      <c r="S41" s="186">
        <v>807.96</v>
      </c>
      <c r="T41" s="278">
        <v>1200</v>
      </c>
      <c r="U41" s="870"/>
      <c r="V41" s="186">
        <v>1216.36</v>
      </c>
      <c r="W41" s="61"/>
    </row>
    <row r="42" spans="1:23" ht="12.75">
      <c r="A42" s="262">
        <v>636</v>
      </c>
      <c r="B42" s="72" t="s">
        <v>34</v>
      </c>
      <c r="C42" s="72" t="s">
        <v>471</v>
      </c>
      <c r="D42" s="63">
        <v>0</v>
      </c>
      <c r="E42" s="63">
        <v>0</v>
      </c>
      <c r="F42" s="63"/>
      <c r="G42" s="63">
        <v>0</v>
      </c>
      <c r="H42" s="92"/>
      <c r="I42" s="63">
        <v>0</v>
      </c>
      <c r="J42" s="61"/>
      <c r="K42" s="131">
        <v>0</v>
      </c>
      <c r="L42" s="131">
        <v>0</v>
      </c>
      <c r="M42" s="62">
        <v>0</v>
      </c>
      <c r="N42" s="131"/>
      <c r="O42" s="131"/>
      <c r="P42" s="62">
        <v>0</v>
      </c>
      <c r="Q42" s="186">
        <v>0</v>
      </c>
      <c r="R42" s="186">
        <v>0</v>
      </c>
      <c r="S42" s="186">
        <v>0</v>
      </c>
      <c r="T42" s="278">
        <v>0</v>
      </c>
      <c r="U42" s="870"/>
      <c r="V42" s="186">
        <v>0</v>
      </c>
      <c r="W42" s="61"/>
    </row>
    <row r="43" spans="1:23" ht="12.75">
      <c r="A43" s="45">
        <v>636</v>
      </c>
      <c r="B43" s="46" t="s">
        <v>55</v>
      </c>
      <c r="C43" s="46" t="s">
        <v>474</v>
      </c>
      <c r="D43" s="63">
        <v>0</v>
      </c>
      <c r="E43" s="63">
        <v>0</v>
      </c>
      <c r="F43" s="63"/>
      <c r="G43" s="63">
        <v>0</v>
      </c>
      <c r="H43" s="92"/>
      <c r="I43" s="63">
        <v>0</v>
      </c>
      <c r="J43" s="61"/>
      <c r="K43" s="131">
        <v>0</v>
      </c>
      <c r="L43" s="131">
        <v>0</v>
      </c>
      <c r="M43" s="62">
        <v>0</v>
      </c>
      <c r="N43" s="131"/>
      <c r="O43" s="131"/>
      <c r="P43" s="62">
        <v>0</v>
      </c>
      <c r="Q43" s="186">
        <v>0</v>
      </c>
      <c r="R43" s="186">
        <v>0</v>
      </c>
      <c r="S43" s="186">
        <v>0</v>
      </c>
      <c r="T43" s="278">
        <v>0</v>
      </c>
      <c r="U43" s="950"/>
      <c r="V43" s="186">
        <v>0</v>
      </c>
      <c r="W43" s="61"/>
    </row>
    <row r="44" spans="1:22" ht="12.75" hidden="1">
      <c r="A44" s="72"/>
      <c r="B44" s="72"/>
      <c r="C44" s="72"/>
      <c r="D44" s="63"/>
      <c r="E44" s="63"/>
      <c r="F44" s="63"/>
      <c r="G44" s="63"/>
      <c r="H44" s="92"/>
      <c r="I44" s="63"/>
      <c r="J44" s="61"/>
      <c r="K44" s="131"/>
      <c r="L44" s="131"/>
      <c r="M44" s="131"/>
      <c r="N44" s="131"/>
      <c r="O44" s="131"/>
      <c r="P44" s="131"/>
      <c r="Q44" s="131"/>
      <c r="R44" s="131"/>
      <c r="S44" s="131"/>
      <c r="T44" s="278"/>
      <c r="U44" s="870"/>
      <c r="V44" s="131"/>
    </row>
    <row r="45" spans="1:22" ht="12.75" hidden="1">
      <c r="A45" s="72"/>
      <c r="B45" s="72"/>
      <c r="C45" s="72"/>
      <c r="D45" s="63"/>
      <c r="E45" s="63"/>
      <c r="F45" s="63"/>
      <c r="G45" s="63"/>
      <c r="H45" s="92"/>
      <c r="I45" s="63"/>
      <c r="J45" s="61"/>
      <c r="K45" s="131"/>
      <c r="L45" s="131"/>
      <c r="M45" s="131"/>
      <c r="N45" s="131"/>
      <c r="O45" s="131"/>
      <c r="P45" s="131"/>
      <c r="Q45" s="131"/>
      <c r="R45" s="131"/>
      <c r="S45" s="131"/>
      <c r="T45" s="278"/>
      <c r="U45" s="870"/>
      <c r="V45" s="131"/>
    </row>
    <row r="46" spans="1:22" ht="12.75" hidden="1">
      <c r="A46" s="72"/>
      <c r="B46" s="72"/>
      <c r="C46" s="72"/>
      <c r="D46" s="63"/>
      <c r="E46" s="63"/>
      <c r="F46" s="63"/>
      <c r="G46" s="63"/>
      <c r="H46" s="92"/>
      <c r="I46" s="63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951"/>
      <c r="U46" s="952"/>
      <c r="V46" s="61"/>
    </row>
    <row r="47" spans="1:22" ht="12.75" hidden="1">
      <c r="A47" s="72"/>
      <c r="B47" s="72"/>
      <c r="C47" s="72"/>
      <c r="D47" s="63"/>
      <c r="E47" s="63"/>
      <c r="F47" s="63"/>
      <c r="G47" s="63"/>
      <c r="H47" s="92"/>
      <c r="I47" s="63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951"/>
      <c r="U47" s="952"/>
      <c r="V47" s="61"/>
    </row>
    <row r="48" spans="1:23" s="5" customFormat="1" ht="12.75">
      <c r="A48" s="943">
        <v>637</v>
      </c>
      <c r="B48" s="944"/>
      <c r="C48" s="944" t="s">
        <v>475</v>
      </c>
      <c r="D48" s="886">
        <f>D49+D50+D51+D52+D54+D55+D56+D58+D60+D61+D63+D64+D65</f>
        <v>40600</v>
      </c>
      <c r="E48" s="886">
        <v>18243</v>
      </c>
      <c r="F48" s="886"/>
      <c r="G48" s="886">
        <v>32237</v>
      </c>
      <c r="H48" s="887"/>
      <c r="I48" s="886">
        <f>I49+I50+I51+I52+I54+I55+I56+I58+I60+I61+I63+I64+I65+I53</f>
        <v>39407</v>
      </c>
      <c r="J48" s="888"/>
      <c r="K48" s="895">
        <f>SUM(K49,K50,K51,K52,K53,K54,K55,K56,K58,K60,K61,K63,K64,K65)</f>
        <v>46103</v>
      </c>
      <c r="L48" s="895">
        <f>SUM(L49+L50+L51+L52+L54+L55+L56+L58+L60+L61+L63++L64+L65)</f>
        <v>50003</v>
      </c>
      <c r="M48" s="895">
        <f>SUM(M49,M50,M51,M52,M53,M54,M55,M56,M58,M60,M61,M63,M64,M65)</f>
        <v>32350</v>
      </c>
      <c r="N48" s="886">
        <f>N49+N50+N51+N52+N53+N54+N55+N56+N58+N60+N61+N62+N63+N64+N65</f>
        <v>13973.89</v>
      </c>
      <c r="O48" s="895"/>
      <c r="P48" s="895">
        <f>SUM(P49,P50,P51,P52,P53,P54,P55,P56,P58,P60,P61,P63,P64,P65)</f>
        <v>36350</v>
      </c>
      <c r="Q48" s="937">
        <f>Q49+Q50+Q51+Q52+Q54+Q55+Q56+Q58+Q59+Q60+Q61+Q62+Q63+Q64+Q65</f>
        <v>25546.51</v>
      </c>
      <c r="R48" s="937">
        <f>R49+R50+R51+R52+R56+R58+R60+R61+R63+R64+R65</f>
        <v>36600</v>
      </c>
      <c r="S48" s="937">
        <f>S49+S50+S51+S52+S54+S55+S56+S58+S60+S61+S62+S63+S64+S59+S65</f>
        <v>31894.429999999997</v>
      </c>
      <c r="T48" s="937">
        <f>T49+T50+T51+T52+T56+T58+T60+T61+T62+T63+T64+T65+T59</f>
        <v>41986.299999999996</v>
      </c>
      <c r="U48" s="938">
        <f>U58+U59+U62-U65</f>
        <v>5386.3</v>
      </c>
      <c r="V48" s="937">
        <f>V49+V50+V51+V52+V54+V55+V56+V58+V60+V61+V62+V63+V64+V59+V65</f>
        <v>43082.88</v>
      </c>
      <c r="W48" s="44"/>
    </row>
    <row r="49" spans="1:23" ht="12.75">
      <c r="A49" s="256">
        <v>637</v>
      </c>
      <c r="B49" s="939" t="s">
        <v>31</v>
      </c>
      <c r="C49" s="939" t="s">
        <v>476</v>
      </c>
      <c r="D49" s="63">
        <v>300</v>
      </c>
      <c r="E49" s="63">
        <v>122</v>
      </c>
      <c r="F49" s="63"/>
      <c r="G49" s="63">
        <v>122</v>
      </c>
      <c r="H49" s="92"/>
      <c r="I49" s="63">
        <v>122</v>
      </c>
      <c r="J49" s="61"/>
      <c r="K49" s="131">
        <v>300</v>
      </c>
      <c r="L49" s="131">
        <v>177</v>
      </c>
      <c r="M49" s="131">
        <v>300</v>
      </c>
      <c r="N49" s="953">
        <v>10</v>
      </c>
      <c r="O49" s="131"/>
      <c r="P49" s="62">
        <v>300</v>
      </c>
      <c r="Q49" s="186">
        <v>10</v>
      </c>
      <c r="R49" s="186">
        <v>50</v>
      </c>
      <c r="S49" s="186">
        <v>10</v>
      </c>
      <c r="T49" s="278">
        <v>50</v>
      </c>
      <c r="U49" s="929"/>
      <c r="V49" s="186">
        <v>10</v>
      </c>
      <c r="W49" s="61"/>
    </row>
    <row r="50" spans="1:23" ht="12.75">
      <c r="A50" s="45">
        <v>637</v>
      </c>
      <c r="B50" s="46" t="s">
        <v>477</v>
      </c>
      <c r="C50" s="46" t="s">
        <v>478</v>
      </c>
      <c r="D50" s="63">
        <v>10000</v>
      </c>
      <c r="E50" s="63">
        <v>5000</v>
      </c>
      <c r="F50" s="63"/>
      <c r="G50" s="63">
        <v>11031</v>
      </c>
      <c r="H50" s="92"/>
      <c r="I50" s="63">
        <v>11954</v>
      </c>
      <c r="J50" s="61"/>
      <c r="K50" s="62">
        <v>12000</v>
      </c>
      <c r="L50" s="131">
        <v>11954</v>
      </c>
      <c r="M50" s="131">
        <v>500</v>
      </c>
      <c r="N50" s="953"/>
      <c r="O50" s="131"/>
      <c r="P50" s="62">
        <v>500</v>
      </c>
      <c r="Q50" s="186">
        <v>436.1</v>
      </c>
      <c r="R50" s="186">
        <v>500</v>
      </c>
      <c r="S50" s="186">
        <v>436.1</v>
      </c>
      <c r="T50" s="278">
        <v>500</v>
      </c>
      <c r="U50" s="870"/>
      <c r="V50" s="186">
        <v>535.1</v>
      </c>
      <c r="W50" s="61"/>
    </row>
    <row r="51" spans="1:23" ht="12.75">
      <c r="A51" s="45">
        <v>637</v>
      </c>
      <c r="B51" s="46" t="s">
        <v>28</v>
      </c>
      <c r="C51" s="46" t="s">
        <v>479</v>
      </c>
      <c r="D51" s="63">
        <v>500</v>
      </c>
      <c r="E51" s="63">
        <v>80</v>
      </c>
      <c r="F51" s="63"/>
      <c r="G51" s="63">
        <v>80</v>
      </c>
      <c r="H51" s="92"/>
      <c r="I51" s="63">
        <v>80</v>
      </c>
      <c r="J51" s="61"/>
      <c r="K51" s="131">
        <v>300</v>
      </c>
      <c r="L51" s="131">
        <v>80</v>
      </c>
      <c r="M51" s="131">
        <v>300</v>
      </c>
      <c r="N51" s="953">
        <v>399.9</v>
      </c>
      <c r="O51" s="131"/>
      <c r="P51" s="62">
        <v>300</v>
      </c>
      <c r="Q51" s="186">
        <v>413.1</v>
      </c>
      <c r="R51" s="186">
        <v>550</v>
      </c>
      <c r="S51" s="186">
        <v>413.1</v>
      </c>
      <c r="T51" s="278">
        <v>550</v>
      </c>
      <c r="U51" s="919"/>
      <c r="V51" s="186">
        <v>563.1</v>
      </c>
      <c r="W51" s="61"/>
    </row>
    <row r="52" spans="1:23" ht="12.75">
      <c r="A52" s="45">
        <v>637</v>
      </c>
      <c r="B52" s="46" t="s">
        <v>55</v>
      </c>
      <c r="C52" s="46" t="s">
        <v>480</v>
      </c>
      <c r="D52" s="63">
        <v>6500</v>
      </c>
      <c r="E52" s="63">
        <v>6696</v>
      </c>
      <c r="F52" s="63"/>
      <c r="G52" s="63">
        <v>6490</v>
      </c>
      <c r="H52" s="92"/>
      <c r="I52" s="63">
        <v>7424</v>
      </c>
      <c r="J52" s="61"/>
      <c r="K52" s="62">
        <v>8000</v>
      </c>
      <c r="L52" s="131">
        <v>10921</v>
      </c>
      <c r="M52" s="131">
        <v>8000</v>
      </c>
      <c r="N52" s="953">
        <v>2984.76</v>
      </c>
      <c r="O52" s="949">
        <v>2000</v>
      </c>
      <c r="P52" s="62">
        <v>10000</v>
      </c>
      <c r="Q52" s="186">
        <v>6761.92</v>
      </c>
      <c r="R52" s="186">
        <v>10000</v>
      </c>
      <c r="S52" s="186">
        <v>7797.72</v>
      </c>
      <c r="T52" s="278">
        <v>10000</v>
      </c>
      <c r="U52" s="870"/>
      <c r="V52" s="186">
        <v>9186.84</v>
      </c>
      <c r="W52" s="61"/>
    </row>
    <row r="53" spans="1:23" ht="12.75">
      <c r="A53" s="45">
        <v>637</v>
      </c>
      <c r="B53" s="46" t="s">
        <v>55</v>
      </c>
      <c r="C53" s="46" t="s">
        <v>481</v>
      </c>
      <c r="D53" s="63"/>
      <c r="E53" s="63">
        <v>0</v>
      </c>
      <c r="F53" s="63"/>
      <c r="G53" s="63">
        <v>1902</v>
      </c>
      <c r="H53" s="92"/>
      <c r="I53" s="63">
        <v>1902</v>
      </c>
      <c r="J53" s="61"/>
      <c r="K53" s="62">
        <v>1902</v>
      </c>
      <c r="L53" s="954">
        <v>1902</v>
      </c>
      <c r="M53" s="131">
        <v>0</v>
      </c>
      <c r="N53" s="69"/>
      <c r="O53" s="131"/>
      <c r="P53" s="62">
        <v>0</v>
      </c>
      <c r="Q53" s="70">
        <v>1914.84</v>
      </c>
      <c r="R53" s="70"/>
      <c r="S53" s="70">
        <v>1914.84</v>
      </c>
      <c r="T53" s="278">
        <v>0</v>
      </c>
      <c r="U53" s="870"/>
      <c r="V53" s="70">
        <v>1914.84</v>
      </c>
      <c r="W53" s="61"/>
    </row>
    <row r="54" spans="1:23" ht="12.75">
      <c r="A54" s="45">
        <v>637</v>
      </c>
      <c r="B54" s="46" t="s">
        <v>68</v>
      </c>
      <c r="C54" s="46" t="s">
        <v>482</v>
      </c>
      <c r="D54" s="63">
        <v>0</v>
      </c>
      <c r="E54" s="63">
        <v>0</v>
      </c>
      <c r="F54" s="63"/>
      <c r="G54" s="63">
        <v>0</v>
      </c>
      <c r="H54" s="92"/>
      <c r="I54" s="63">
        <v>0</v>
      </c>
      <c r="J54" s="61"/>
      <c r="K54" s="131">
        <v>0</v>
      </c>
      <c r="L54" s="131">
        <v>0</v>
      </c>
      <c r="M54" s="131">
        <v>0</v>
      </c>
      <c r="N54" s="953"/>
      <c r="O54" s="131"/>
      <c r="P54" s="62">
        <v>0</v>
      </c>
      <c r="Q54" s="186"/>
      <c r="R54" s="186"/>
      <c r="S54" s="186"/>
      <c r="T54" s="278">
        <v>0</v>
      </c>
      <c r="U54" s="870"/>
      <c r="V54" s="186">
        <v>1680</v>
      </c>
      <c r="W54" s="61"/>
    </row>
    <row r="55" spans="1:23" ht="12.75">
      <c r="A55" s="45">
        <v>637</v>
      </c>
      <c r="B55" s="46" t="s">
        <v>456</v>
      </c>
      <c r="C55" s="46" t="s">
        <v>483</v>
      </c>
      <c r="D55" s="63">
        <v>0</v>
      </c>
      <c r="E55" s="63">
        <v>0</v>
      </c>
      <c r="F55" s="63"/>
      <c r="G55" s="63">
        <v>0</v>
      </c>
      <c r="H55" s="92"/>
      <c r="I55" s="63">
        <v>0</v>
      </c>
      <c r="J55" s="61"/>
      <c r="K55" s="131">
        <v>0</v>
      </c>
      <c r="L55" s="131">
        <v>0</v>
      </c>
      <c r="M55" s="131">
        <v>0</v>
      </c>
      <c r="N55" s="953"/>
      <c r="O55" s="131"/>
      <c r="P55" s="62">
        <v>0</v>
      </c>
      <c r="Q55" s="186"/>
      <c r="R55" s="186"/>
      <c r="S55" s="186"/>
      <c r="T55" s="278">
        <v>0</v>
      </c>
      <c r="U55" s="870"/>
      <c r="V55" s="186"/>
      <c r="W55" s="61"/>
    </row>
    <row r="56" spans="1:23" ht="12.75">
      <c r="A56" s="45">
        <v>637</v>
      </c>
      <c r="B56" s="46" t="s">
        <v>42</v>
      </c>
      <c r="C56" s="46" t="s">
        <v>484</v>
      </c>
      <c r="D56" s="63">
        <v>2000</v>
      </c>
      <c r="E56" s="63">
        <v>1802</v>
      </c>
      <c r="F56" s="63"/>
      <c r="G56" s="63">
        <v>2620</v>
      </c>
      <c r="H56" s="92"/>
      <c r="I56" s="63">
        <v>3086</v>
      </c>
      <c r="J56" s="61"/>
      <c r="K56" s="62">
        <v>3000</v>
      </c>
      <c r="L56" s="131">
        <v>3445</v>
      </c>
      <c r="M56" s="131">
        <v>2000</v>
      </c>
      <c r="N56" s="953">
        <v>3156.41</v>
      </c>
      <c r="O56" s="949">
        <v>2000</v>
      </c>
      <c r="P56" s="62">
        <v>4000</v>
      </c>
      <c r="Q56" s="186">
        <v>3129.48</v>
      </c>
      <c r="R56" s="186">
        <v>4000</v>
      </c>
      <c r="S56" s="186">
        <v>3661.73</v>
      </c>
      <c r="T56" s="278">
        <v>4000</v>
      </c>
      <c r="U56" s="870"/>
      <c r="V56" s="186">
        <v>4014.45</v>
      </c>
      <c r="W56" s="61"/>
    </row>
    <row r="57" spans="1:22" ht="12.75" hidden="1">
      <c r="A57" s="96"/>
      <c r="B57" s="145"/>
      <c r="C57" s="145"/>
      <c r="D57" s="63"/>
      <c r="E57" s="63"/>
      <c r="F57" s="63"/>
      <c r="G57" s="63"/>
      <c r="H57" s="92"/>
      <c r="I57" s="63"/>
      <c r="J57" s="61"/>
      <c r="K57" s="62"/>
      <c r="L57" s="131"/>
      <c r="M57" s="131"/>
      <c r="N57" s="953"/>
      <c r="O57" s="949"/>
      <c r="P57" s="62"/>
      <c r="Q57" s="186"/>
      <c r="R57" s="186"/>
      <c r="S57" s="186"/>
      <c r="T57" s="955"/>
      <c r="U57" s="956"/>
      <c r="V57" s="957"/>
    </row>
    <row r="58" spans="1:23" ht="12.75">
      <c r="A58" s="256">
        <v>637</v>
      </c>
      <c r="B58" s="939" t="s">
        <v>47</v>
      </c>
      <c r="C58" s="939" t="s">
        <v>485</v>
      </c>
      <c r="D58" s="63">
        <v>16000</v>
      </c>
      <c r="E58" s="63">
        <v>4145</v>
      </c>
      <c r="F58" s="63"/>
      <c r="G58" s="63">
        <v>8448</v>
      </c>
      <c r="H58" s="92"/>
      <c r="I58" s="63">
        <v>12669</v>
      </c>
      <c r="J58" s="61"/>
      <c r="K58" s="62">
        <v>15000</v>
      </c>
      <c r="L58" s="131">
        <v>17478</v>
      </c>
      <c r="M58" s="131">
        <v>14000</v>
      </c>
      <c r="N58" s="953">
        <v>4117.74</v>
      </c>
      <c r="O58" s="131"/>
      <c r="P58" s="62">
        <v>14000</v>
      </c>
      <c r="Q58" s="186">
        <v>7581.44</v>
      </c>
      <c r="R58" s="186">
        <v>14000</v>
      </c>
      <c r="S58" s="186">
        <v>11540.69</v>
      </c>
      <c r="T58" s="278">
        <f>R58+U58</f>
        <v>15450</v>
      </c>
      <c r="U58" s="919">
        <v>1450</v>
      </c>
      <c r="V58" s="186">
        <v>15465.89</v>
      </c>
      <c r="W58" s="61"/>
    </row>
    <row r="59" spans="1:23" s="935" customFormat="1" ht="12.75">
      <c r="A59" s="852">
        <v>637</v>
      </c>
      <c r="B59" s="920" t="s">
        <v>47</v>
      </c>
      <c r="C59" s="920" t="s">
        <v>486</v>
      </c>
      <c r="D59" s="922"/>
      <c r="E59" s="922"/>
      <c r="F59" s="922"/>
      <c r="G59" s="922"/>
      <c r="H59" s="942"/>
      <c r="I59" s="922"/>
      <c r="J59" s="932"/>
      <c r="K59" s="933"/>
      <c r="L59" s="934"/>
      <c r="M59" s="934"/>
      <c r="N59" s="958">
        <v>457.6</v>
      </c>
      <c r="O59" s="934"/>
      <c r="P59" s="933"/>
      <c r="Q59" s="926">
        <v>457.6</v>
      </c>
      <c r="R59" s="926"/>
      <c r="S59" s="959">
        <v>457.6</v>
      </c>
      <c r="T59" s="905">
        <v>457.6</v>
      </c>
      <c r="U59" s="919">
        <v>457.6</v>
      </c>
      <c r="V59" s="959">
        <v>457.6</v>
      </c>
      <c r="W59" s="932"/>
    </row>
    <row r="60" spans="1:23" ht="12.75">
      <c r="A60" s="45">
        <v>637</v>
      </c>
      <c r="B60" s="46" t="s">
        <v>487</v>
      </c>
      <c r="C60" s="46" t="s">
        <v>488</v>
      </c>
      <c r="D60" s="63">
        <v>1500</v>
      </c>
      <c r="E60" s="63">
        <v>66</v>
      </c>
      <c r="F60" s="63"/>
      <c r="G60" s="63">
        <v>1035</v>
      </c>
      <c r="H60" s="92"/>
      <c r="I60" s="63">
        <v>1035</v>
      </c>
      <c r="J60" s="61"/>
      <c r="K60" s="62">
        <v>1500</v>
      </c>
      <c r="L60" s="131">
        <v>1101</v>
      </c>
      <c r="M60" s="131">
        <v>1000</v>
      </c>
      <c r="N60" s="953">
        <v>535.47</v>
      </c>
      <c r="O60" s="131"/>
      <c r="P60" s="62">
        <v>1000</v>
      </c>
      <c r="Q60" s="186">
        <v>877.75</v>
      </c>
      <c r="R60" s="186">
        <v>1250</v>
      </c>
      <c r="S60" s="186">
        <v>1220.03</v>
      </c>
      <c r="T60" s="278">
        <v>1250</v>
      </c>
      <c r="U60" s="919"/>
      <c r="V60" s="186">
        <v>1628.7</v>
      </c>
      <c r="W60" s="61"/>
    </row>
    <row r="61" spans="1:23" ht="12.75">
      <c r="A61" s="45">
        <v>637</v>
      </c>
      <c r="B61" s="46" t="s">
        <v>459</v>
      </c>
      <c r="C61" s="46" t="s">
        <v>489</v>
      </c>
      <c r="D61" s="63">
        <v>500</v>
      </c>
      <c r="E61" s="132">
        <v>176</v>
      </c>
      <c r="F61" s="63"/>
      <c r="G61" s="132">
        <v>353</v>
      </c>
      <c r="H61" s="92"/>
      <c r="I61" s="132">
        <v>613</v>
      </c>
      <c r="J61" s="61"/>
      <c r="K61" s="62">
        <v>500</v>
      </c>
      <c r="L61" s="131">
        <v>953</v>
      </c>
      <c r="M61" s="131">
        <v>1000</v>
      </c>
      <c r="N61" s="960">
        <v>255.99</v>
      </c>
      <c r="O61" s="131"/>
      <c r="P61" s="62">
        <v>1000</v>
      </c>
      <c r="Q61" s="186">
        <v>510.48</v>
      </c>
      <c r="R61" s="186">
        <v>1000</v>
      </c>
      <c r="S61" s="186">
        <v>726.76</v>
      </c>
      <c r="T61" s="278">
        <v>1000</v>
      </c>
      <c r="U61" s="917"/>
      <c r="V61" s="186">
        <v>992.88</v>
      </c>
      <c r="W61" s="94"/>
    </row>
    <row r="62" spans="1:23" ht="12.75">
      <c r="A62" s="45">
        <v>637</v>
      </c>
      <c r="B62" s="46" t="s">
        <v>490</v>
      </c>
      <c r="C62" s="46" t="s">
        <v>491</v>
      </c>
      <c r="D62" s="63"/>
      <c r="E62" s="132"/>
      <c r="F62" s="63"/>
      <c r="G62" s="132"/>
      <c r="H62" s="92"/>
      <c r="I62" s="132"/>
      <c r="J62" s="61"/>
      <c r="K62" s="62"/>
      <c r="L62" s="131"/>
      <c r="M62" s="131"/>
      <c r="N62" s="960">
        <v>898.37</v>
      </c>
      <c r="O62" s="131"/>
      <c r="P62" s="62"/>
      <c r="Q62" s="186">
        <v>3689.39</v>
      </c>
      <c r="R62" s="186"/>
      <c r="S62" s="186">
        <v>3689.39</v>
      </c>
      <c r="T62" s="278">
        <v>3689.39</v>
      </c>
      <c r="U62" s="961">
        <v>3689.39</v>
      </c>
      <c r="V62" s="186">
        <v>3689.39</v>
      </c>
      <c r="W62" s="61"/>
    </row>
    <row r="63" spans="1:23" ht="12.75">
      <c r="A63" s="45">
        <v>637</v>
      </c>
      <c r="B63" s="46" t="s">
        <v>492</v>
      </c>
      <c r="C63" s="46" t="s">
        <v>493</v>
      </c>
      <c r="D63" s="63">
        <v>300</v>
      </c>
      <c r="E63" s="63">
        <v>156</v>
      </c>
      <c r="F63" s="63"/>
      <c r="G63" s="63">
        <v>153</v>
      </c>
      <c r="H63" s="962"/>
      <c r="I63" s="63">
        <v>221</v>
      </c>
      <c r="J63" s="61"/>
      <c r="K63" s="131">
        <v>300</v>
      </c>
      <c r="L63" s="131">
        <v>384</v>
      </c>
      <c r="M63" s="131">
        <v>250</v>
      </c>
      <c r="N63" s="953">
        <v>74</v>
      </c>
      <c r="O63" s="131"/>
      <c r="P63" s="62">
        <v>250</v>
      </c>
      <c r="Q63" s="186">
        <v>138</v>
      </c>
      <c r="R63" s="186">
        <v>250</v>
      </c>
      <c r="S63" s="186">
        <v>152</v>
      </c>
      <c r="T63" s="278">
        <v>250</v>
      </c>
      <c r="U63" s="870"/>
      <c r="V63" s="186">
        <v>272</v>
      </c>
      <c r="W63" s="61"/>
    </row>
    <row r="64" spans="1:23" ht="12.75">
      <c r="A64" s="45">
        <v>637</v>
      </c>
      <c r="B64" s="46" t="s">
        <v>494</v>
      </c>
      <c r="C64" s="46" t="s">
        <v>495</v>
      </c>
      <c r="D64" s="63">
        <v>3000</v>
      </c>
      <c r="E64" s="63">
        <v>0</v>
      </c>
      <c r="F64" s="63"/>
      <c r="G64" s="63">
        <v>0</v>
      </c>
      <c r="H64" s="92"/>
      <c r="I64" s="63">
        <v>0</v>
      </c>
      <c r="J64" s="61"/>
      <c r="K64" s="62">
        <v>3000</v>
      </c>
      <c r="L64" s="131">
        <v>3209</v>
      </c>
      <c r="M64" s="131">
        <v>3000</v>
      </c>
      <c r="N64" s="953"/>
      <c r="O64" s="131"/>
      <c r="P64" s="62">
        <v>3000</v>
      </c>
      <c r="Q64" s="186">
        <v>0</v>
      </c>
      <c r="R64" s="186">
        <v>3000</v>
      </c>
      <c r="S64" s="186"/>
      <c r="T64" s="278">
        <v>3000</v>
      </c>
      <c r="U64" s="870"/>
      <c r="V64" s="186">
        <v>2797.62</v>
      </c>
      <c r="W64" s="61"/>
    </row>
    <row r="65" spans="1:23" s="935" customFormat="1" ht="12.75">
      <c r="A65" s="963">
        <v>637</v>
      </c>
      <c r="B65" s="964" t="s">
        <v>496</v>
      </c>
      <c r="C65" s="964" t="s">
        <v>497</v>
      </c>
      <c r="D65" s="922">
        <v>0</v>
      </c>
      <c r="E65" s="922">
        <v>0</v>
      </c>
      <c r="F65" s="922"/>
      <c r="G65" s="922">
        <v>0</v>
      </c>
      <c r="H65" s="942"/>
      <c r="I65" s="922">
        <v>301</v>
      </c>
      <c r="J65" s="932"/>
      <c r="K65" s="934">
        <v>301</v>
      </c>
      <c r="L65" s="924">
        <v>301</v>
      </c>
      <c r="M65" s="934">
        <v>2000</v>
      </c>
      <c r="N65" s="965">
        <v>1541.25</v>
      </c>
      <c r="O65" s="966"/>
      <c r="P65" s="933">
        <v>2000</v>
      </c>
      <c r="Q65" s="926">
        <v>1541.25</v>
      </c>
      <c r="R65" s="926">
        <v>2000</v>
      </c>
      <c r="S65" s="926">
        <v>1789.31</v>
      </c>
      <c r="T65" s="905">
        <v>1789.31</v>
      </c>
      <c r="U65" s="967">
        <v>210.69</v>
      </c>
      <c r="V65" s="926">
        <v>1789.31</v>
      </c>
      <c r="W65" s="932"/>
    </row>
    <row r="66" spans="1:23" s="971" customFormat="1" ht="12.75">
      <c r="A66" s="968">
        <v>640</v>
      </c>
      <c r="B66" s="944"/>
      <c r="C66" s="944" t="s">
        <v>498</v>
      </c>
      <c r="D66" s="886">
        <f>D67+D68+D69+D70</f>
        <v>4500</v>
      </c>
      <c r="E66" s="886">
        <v>1178</v>
      </c>
      <c r="F66" s="886"/>
      <c r="G66" s="886">
        <v>4407</v>
      </c>
      <c r="H66" s="887"/>
      <c r="I66" s="886">
        <f>I67+I68+I69+I70</f>
        <v>7160</v>
      </c>
      <c r="J66" s="886"/>
      <c r="K66" s="886">
        <f>K67+K68+K69+K70</f>
        <v>7800</v>
      </c>
      <c r="L66" s="886">
        <f>L67+L68+L69+L70</f>
        <v>9266</v>
      </c>
      <c r="M66" s="886">
        <f>M67+M68+M69+M70</f>
        <v>16300</v>
      </c>
      <c r="N66" s="969">
        <f>N67+N68+N69+N70</f>
        <v>2989.0099999999998</v>
      </c>
      <c r="O66" s="886"/>
      <c r="P66" s="886">
        <f>P67+P68+P69+P70</f>
        <v>14700</v>
      </c>
      <c r="Q66" s="912">
        <f>Q67+Q68+Q69+Q70</f>
        <v>7205.15</v>
      </c>
      <c r="R66" s="912">
        <f>R67+R68+R69+R70</f>
        <v>14700</v>
      </c>
      <c r="S66" s="912">
        <f>S67+S68+S69+S70</f>
        <v>11798.87</v>
      </c>
      <c r="T66" s="912">
        <f>T67+T68+T69+T70</f>
        <v>16620</v>
      </c>
      <c r="U66" s="913">
        <f>U69+U70</f>
        <v>1920</v>
      </c>
      <c r="V66" s="912">
        <f>V67+V68+V69+V70</f>
        <v>16827.62</v>
      </c>
      <c r="W66" s="970"/>
    </row>
    <row r="67" spans="1:23" s="5" customFormat="1" ht="12.75">
      <c r="A67" s="972">
        <v>642</v>
      </c>
      <c r="B67" s="915" t="s">
        <v>34</v>
      </c>
      <c r="C67" s="915" t="s">
        <v>499</v>
      </c>
      <c r="D67" s="38">
        <v>2000</v>
      </c>
      <c r="E67" s="38">
        <v>0</v>
      </c>
      <c r="F67" s="38"/>
      <c r="G67" s="38">
        <v>0</v>
      </c>
      <c r="H67" s="53"/>
      <c r="I67" s="973">
        <v>0</v>
      </c>
      <c r="J67" s="44"/>
      <c r="K67" s="851">
        <v>0</v>
      </c>
      <c r="L67" s="851">
        <v>0</v>
      </c>
      <c r="M67" s="851">
        <v>0</v>
      </c>
      <c r="N67" s="974"/>
      <c r="O67" s="851"/>
      <c r="P67" s="173">
        <v>0</v>
      </c>
      <c r="Q67" s="975">
        <v>0</v>
      </c>
      <c r="R67" s="975">
        <v>0</v>
      </c>
      <c r="S67" s="138">
        <v>0</v>
      </c>
      <c r="T67" s="278">
        <v>0</v>
      </c>
      <c r="U67" s="870"/>
      <c r="V67" s="138">
        <v>0</v>
      </c>
      <c r="W67" s="44"/>
    </row>
    <row r="68" spans="1:23" ht="12.75">
      <c r="A68" s="96">
        <v>642</v>
      </c>
      <c r="B68" s="97" t="s">
        <v>73</v>
      </c>
      <c r="C68" s="97" t="s">
        <v>500</v>
      </c>
      <c r="D68" s="63">
        <v>1500</v>
      </c>
      <c r="E68" s="63">
        <v>320</v>
      </c>
      <c r="F68" s="63"/>
      <c r="G68" s="63">
        <v>320</v>
      </c>
      <c r="H68" s="92"/>
      <c r="I68" s="276">
        <v>320</v>
      </c>
      <c r="J68" s="61"/>
      <c r="K68" s="131">
        <v>500</v>
      </c>
      <c r="L68" s="131">
        <v>320</v>
      </c>
      <c r="M68" s="131">
        <v>1000</v>
      </c>
      <c r="N68" s="69">
        <v>1073.09</v>
      </c>
      <c r="O68" s="949">
        <v>400</v>
      </c>
      <c r="P68" s="62">
        <v>1400</v>
      </c>
      <c r="Q68" s="976">
        <v>1073.09</v>
      </c>
      <c r="R68" s="976">
        <v>1400</v>
      </c>
      <c r="S68" s="66">
        <v>1128.09</v>
      </c>
      <c r="T68" s="278">
        <v>1400</v>
      </c>
      <c r="U68" s="870"/>
      <c r="V68" s="66">
        <v>1626.69</v>
      </c>
      <c r="W68" s="61"/>
    </row>
    <row r="69" spans="1:23" ht="12.75">
      <c r="A69" s="45">
        <v>651</v>
      </c>
      <c r="B69" s="35" t="s">
        <v>34</v>
      </c>
      <c r="C69" s="35" t="s">
        <v>501</v>
      </c>
      <c r="D69" s="63">
        <v>1000</v>
      </c>
      <c r="E69" s="63">
        <v>750</v>
      </c>
      <c r="F69" s="63"/>
      <c r="G69" s="63">
        <v>3867</v>
      </c>
      <c r="H69" s="92"/>
      <c r="I69" s="276">
        <v>6594</v>
      </c>
      <c r="J69" s="61"/>
      <c r="K69" s="62">
        <v>7000</v>
      </c>
      <c r="L69" s="131">
        <v>8684</v>
      </c>
      <c r="M69" s="131">
        <v>15000</v>
      </c>
      <c r="N69" s="69">
        <v>1876.48</v>
      </c>
      <c r="O69" s="977">
        <v>2000</v>
      </c>
      <c r="P69" s="62">
        <v>13000</v>
      </c>
      <c r="Q69" s="976">
        <v>5828.86</v>
      </c>
      <c r="R69" s="976">
        <v>13000</v>
      </c>
      <c r="S69" s="66">
        <v>10163.43</v>
      </c>
      <c r="T69" s="278">
        <v>14500</v>
      </c>
      <c r="U69" s="919">
        <v>1500</v>
      </c>
      <c r="V69" s="66">
        <v>14479.15</v>
      </c>
      <c r="W69" s="61"/>
    </row>
    <row r="70" spans="1:23" ht="12.75">
      <c r="A70" s="34">
        <v>653</v>
      </c>
      <c r="B70" s="35" t="s">
        <v>34</v>
      </c>
      <c r="C70" s="35" t="s">
        <v>502</v>
      </c>
      <c r="D70" s="978"/>
      <c r="E70" s="62">
        <v>108</v>
      </c>
      <c r="F70" s="978"/>
      <c r="G70" s="62">
        <v>220</v>
      </c>
      <c r="H70" s="979"/>
      <c r="I70" s="276">
        <v>246</v>
      </c>
      <c r="J70" s="61"/>
      <c r="K70" s="131">
        <v>300</v>
      </c>
      <c r="L70" s="131">
        <v>262</v>
      </c>
      <c r="M70" s="131">
        <v>300</v>
      </c>
      <c r="N70" s="69">
        <v>39.44</v>
      </c>
      <c r="O70" s="131"/>
      <c r="P70" s="62">
        <v>300</v>
      </c>
      <c r="Q70" s="976">
        <v>303.2</v>
      </c>
      <c r="R70" s="976">
        <v>300</v>
      </c>
      <c r="S70" s="66">
        <v>507.35</v>
      </c>
      <c r="T70" s="278">
        <v>720</v>
      </c>
      <c r="U70" s="961">
        <v>420</v>
      </c>
      <c r="V70" s="66">
        <v>721.78</v>
      </c>
      <c r="W70" s="61"/>
    </row>
    <row r="71" spans="1:22" ht="12.75">
      <c r="A71" s="110"/>
      <c r="B71" s="110"/>
      <c r="C71" s="110"/>
      <c r="D71" s="7"/>
      <c r="E71" s="73"/>
      <c r="F71" s="7"/>
      <c r="G71" s="73"/>
      <c r="K71" s="72"/>
      <c r="L71" s="7"/>
      <c r="N71" s="7"/>
      <c r="Q71" s="79"/>
      <c r="R71" s="79"/>
      <c r="S71" s="79"/>
      <c r="T71" s="120"/>
      <c r="U71" s="120"/>
      <c r="V71" s="79"/>
    </row>
    <row r="72" spans="1:23" ht="25.5">
      <c r="A72" s="822" t="s">
        <v>414</v>
      </c>
      <c r="B72" s="823"/>
      <c r="C72" s="824"/>
      <c r="D72" s="825" t="s">
        <v>13</v>
      </c>
      <c r="E72" s="825" t="s">
        <v>14</v>
      </c>
      <c r="F72" s="826" t="s">
        <v>15</v>
      </c>
      <c r="G72" s="825" t="s">
        <v>16</v>
      </c>
      <c r="H72" s="826" t="s">
        <v>15</v>
      </c>
      <c r="I72" s="825" t="s">
        <v>17</v>
      </c>
      <c r="J72" s="827" t="s">
        <v>15</v>
      </c>
      <c r="K72" s="828" t="s">
        <v>20</v>
      </c>
      <c r="L72" s="829" t="s">
        <v>18</v>
      </c>
      <c r="M72" s="830">
        <v>2012</v>
      </c>
      <c r="N72" s="831" t="s">
        <v>435</v>
      </c>
      <c r="O72" s="832" t="s">
        <v>20</v>
      </c>
      <c r="P72" s="832" t="s">
        <v>21</v>
      </c>
      <c r="Q72" s="21" t="s">
        <v>22</v>
      </c>
      <c r="R72" s="21" t="s">
        <v>436</v>
      </c>
      <c r="S72" s="21" t="s">
        <v>23</v>
      </c>
      <c r="T72" s="20" t="s">
        <v>24</v>
      </c>
      <c r="U72" s="19" t="s">
        <v>437</v>
      </c>
      <c r="V72" s="22" t="s">
        <v>26</v>
      </c>
      <c r="W72" s="827" t="s">
        <v>15</v>
      </c>
    </row>
    <row r="73" spans="1:23" s="4" customFormat="1" ht="12.75">
      <c r="A73" s="980" t="s">
        <v>503</v>
      </c>
      <c r="B73" s="981"/>
      <c r="C73" s="981"/>
      <c r="D73" s="982">
        <f>D74+D75+D76</f>
        <v>5000</v>
      </c>
      <c r="E73" s="982">
        <v>2214</v>
      </c>
      <c r="F73" s="983">
        <v>44.28</v>
      </c>
      <c r="G73" s="982">
        <v>3036</v>
      </c>
      <c r="H73" s="86">
        <v>60.72</v>
      </c>
      <c r="I73" s="982">
        <f>I74+I75+I76</f>
        <v>4614</v>
      </c>
      <c r="J73" s="984">
        <v>92.98</v>
      </c>
      <c r="K73" s="982">
        <f>SUM(K74,K75,K76)</f>
        <v>7600</v>
      </c>
      <c r="L73" s="982">
        <f>SUM(L74,L75,L76)</f>
        <v>6983</v>
      </c>
      <c r="M73" s="982">
        <f>SUM(M74,M75,M76)</f>
        <v>7500</v>
      </c>
      <c r="N73" s="982">
        <f>N74+N75+N76</f>
        <v>2006.28</v>
      </c>
      <c r="O73" s="982">
        <v>0</v>
      </c>
      <c r="P73" s="982">
        <f>SUM(P74,P75,P76)</f>
        <v>7500</v>
      </c>
      <c r="Q73" s="983">
        <f>Q74+Q75+Q76</f>
        <v>4068.35</v>
      </c>
      <c r="R73" s="983">
        <f>R74+R75+R76</f>
        <v>7500</v>
      </c>
      <c r="S73" s="983">
        <f>S74+S75+S76</f>
        <v>6017.64</v>
      </c>
      <c r="T73" s="983">
        <f>SUM(T74,T75,T76)</f>
        <v>8020</v>
      </c>
      <c r="U73" s="985">
        <f>U74+U75</f>
        <v>520</v>
      </c>
      <c r="V73" s="983">
        <f>V74+V75+V76</f>
        <v>7999.65</v>
      </c>
      <c r="W73" s="843">
        <f>V73/T73*100</f>
        <v>99.74625935162095</v>
      </c>
    </row>
    <row r="74" spans="1:23" ht="12.75">
      <c r="A74" s="256">
        <v>610</v>
      </c>
      <c r="B74" s="939"/>
      <c r="C74" s="986" t="s">
        <v>439</v>
      </c>
      <c r="D74" s="62">
        <v>3500</v>
      </c>
      <c r="E74" s="62">
        <v>1529</v>
      </c>
      <c r="F74" s="62"/>
      <c r="G74" s="62">
        <v>2170</v>
      </c>
      <c r="H74" s="92"/>
      <c r="I74" s="62">
        <v>3370</v>
      </c>
      <c r="J74" s="61"/>
      <c r="K74" s="62">
        <v>5500</v>
      </c>
      <c r="L74" s="131">
        <v>4890</v>
      </c>
      <c r="M74" s="131">
        <v>5500</v>
      </c>
      <c r="N74" s="62">
        <v>1467.83</v>
      </c>
      <c r="O74" s="131"/>
      <c r="P74" s="62">
        <v>5500</v>
      </c>
      <c r="Q74" s="186">
        <v>2961.83</v>
      </c>
      <c r="R74" s="186">
        <v>5500</v>
      </c>
      <c r="S74" s="186">
        <v>4384.61</v>
      </c>
      <c r="T74" s="186">
        <v>5820</v>
      </c>
      <c r="U74" s="987">
        <v>320</v>
      </c>
      <c r="V74" s="186">
        <v>5805.71</v>
      </c>
      <c r="W74" s="61"/>
    </row>
    <row r="75" spans="1:23" ht="12.75">
      <c r="A75" s="45">
        <v>620</v>
      </c>
      <c r="B75" s="46"/>
      <c r="C75" s="35" t="s">
        <v>166</v>
      </c>
      <c r="D75" s="62">
        <v>1300</v>
      </c>
      <c r="E75" s="62">
        <v>534</v>
      </c>
      <c r="F75" s="62"/>
      <c r="G75" s="62">
        <v>699</v>
      </c>
      <c r="H75" s="92"/>
      <c r="I75" s="62">
        <v>1030</v>
      </c>
      <c r="J75" s="61"/>
      <c r="K75" s="62">
        <v>1800</v>
      </c>
      <c r="L75" s="131">
        <v>1708</v>
      </c>
      <c r="M75" s="131">
        <v>1800</v>
      </c>
      <c r="N75" s="62">
        <v>496.95</v>
      </c>
      <c r="O75" s="131"/>
      <c r="P75" s="62">
        <v>1800</v>
      </c>
      <c r="Q75" s="186">
        <v>1019.04</v>
      </c>
      <c r="R75" s="186">
        <v>1870</v>
      </c>
      <c r="S75" s="186">
        <v>1526.97</v>
      </c>
      <c r="T75" s="186">
        <v>2070</v>
      </c>
      <c r="U75" s="987">
        <v>200</v>
      </c>
      <c r="V75" s="186">
        <v>2051.68</v>
      </c>
      <c r="W75" s="61"/>
    </row>
    <row r="76" spans="1:23" ht="12.75">
      <c r="A76" s="45">
        <v>637</v>
      </c>
      <c r="B76" s="46"/>
      <c r="C76" s="35" t="s">
        <v>180</v>
      </c>
      <c r="D76" s="62">
        <v>200</v>
      </c>
      <c r="E76" s="62">
        <v>151</v>
      </c>
      <c r="F76" s="62"/>
      <c r="G76" s="62">
        <v>167</v>
      </c>
      <c r="H76" s="92"/>
      <c r="I76" s="62">
        <v>214</v>
      </c>
      <c r="J76" s="61"/>
      <c r="K76" s="131">
        <v>300</v>
      </c>
      <c r="L76" s="131">
        <v>385</v>
      </c>
      <c r="M76" s="131">
        <v>200</v>
      </c>
      <c r="N76" s="62">
        <v>41.5</v>
      </c>
      <c r="O76" s="131"/>
      <c r="P76" s="62">
        <v>200</v>
      </c>
      <c r="Q76" s="186">
        <v>87.48</v>
      </c>
      <c r="R76" s="186">
        <v>130</v>
      </c>
      <c r="S76" s="186">
        <v>106.06</v>
      </c>
      <c r="T76" s="186">
        <v>130</v>
      </c>
      <c r="U76" s="988"/>
      <c r="V76" s="186">
        <v>142.26</v>
      </c>
      <c r="W76" s="61"/>
    </row>
    <row r="77" spans="1:21" ht="12.75">
      <c r="A77" s="289"/>
      <c r="B77" s="289"/>
      <c r="C77" s="989"/>
      <c r="D77" s="75"/>
      <c r="E77" s="75"/>
      <c r="F77" s="75"/>
      <c r="G77" s="75"/>
      <c r="H77" s="990"/>
      <c r="N77" s="7"/>
      <c r="T77" s="79"/>
      <c r="U77" s="120"/>
    </row>
    <row r="78" spans="1:23" s="4" customFormat="1" ht="12.75">
      <c r="A78" s="838" t="s">
        <v>504</v>
      </c>
      <c r="B78" s="991"/>
      <c r="C78" s="981"/>
      <c r="D78" s="982">
        <f>D79+D81+D83+D84+D87+D88</f>
        <v>12757</v>
      </c>
      <c r="E78" s="982">
        <v>3131</v>
      </c>
      <c r="F78" s="983">
        <v>24.54</v>
      </c>
      <c r="G78" s="982">
        <v>5764</v>
      </c>
      <c r="H78" s="86">
        <v>45.18</v>
      </c>
      <c r="I78" s="982">
        <f>I79+I80+I81+I82+I83+I84+I87+I88</f>
        <v>8824</v>
      </c>
      <c r="J78" s="984">
        <v>69.17</v>
      </c>
      <c r="K78" s="982">
        <f>SUM(K79,K81,K83,K84,K87,K88,K89)</f>
        <v>12807</v>
      </c>
      <c r="L78" s="982">
        <f>SUM(L79,L81,L83,L84,L87,L88,L89+L80+L82+L86)</f>
        <v>12657</v>
      </c>
      <c r="M78" s="982">
        <f>SUM(M79,M81,M83,M84,M87,M88,M89)</f>
        <v>12815</v>
      </c>
      <c r="N78" s="982">
        <f>N79+N80+N81+N82+N83+N84+N87+N88+N89</f>
        <v>3081.8999999999996</v>
      </c>
      <c r="O78" s="982">
        <v>0</v>
      </c>
      <c r="P78" s="982">
        <f>SUM(P79,P81,P83,P84,P87,P88,P89)</f>
        <v>12815</v>
      </c>
      <c r="Q78" s="983">
        <f>Q79+Q80+Q81+Q82+Q83+Q84+Q88+Q89</f>
        <v>6006.14</v>
      </c>
      <c r="R78" s="983">
        <f>R79+R81+R83+R84+R88+R80</f>
        <v>12815</v>
      </c>
      <c r="S78" s="983">
        <f>S79+S81+S83+S85+S88+S80+S82+S86</f>
        <v>9069.63</v>
      </c>
      <c r="T78" s="983">
        <f>SUM(T79,T81,T83,T84,T87,T88,T89)</f>
        <v>12815</v>
      </c>
      <c r="U78" s="992">
        <v>0</v>
      </c>
      <c r="V78" s="983">
        <f>V79+V81+V83+V85+V88+V80+V82+V86</f>
        <v>12839.51</v>
      </c>
      <c r="W78" s="843">
        <f>V78/T78*100</f>
        <v>100.19126024190402</v>
      </c>
    </row>
    <row r="79" spans="1:23" s="5" customFormat="1" ht="12.75">
      <c r="A79" s="45">
        <v>610</v>
      </c>
      <c r="B79" s="46"/>
      <c r="C79" s="993" t="s">
        <v>439</v>
      </c>
      <c r="D79" s="38">
        <v>9000</v>
      </c>
      <c r="E79" s="132">
        <v>1234</v>
      </c>
      <c r="F79" s="38"/>
      <c r="G79" s="132">
        <v>2435</v>
      </c>
      <c r="H79" s="92"/>
      <c r="I79" s="132">
        <v>3746</v>
      </c>
      <c r="J79" s="61"/>
      <c r="K79" s="62">
        <v>9000</v>
      </c>
      <c r="L79" s="131">
        <v>5724</v>
      </c>
      <c r="M79" s="131">
        <v>9000</v>
      </c>
      <c r="N79" s="132">
        <v>1125.49</v>
      </c>
      <c r="O79" s="131"/>
      <c r="P79" s="131">
        <v>9000</v>
      </c>
      <c r="Q79" s="131">
        <v>2246.21</v>
      </c>
      <c r="R79" s="131">
        <v>4224</v>
      </c>
      <c r="S79" s="131">
        <v>3357.16</v>
      </c>
      <c r="T79" s="186">
        <v>9000</v>
      </c>
      <c r="U79" s="988"/>
      <c r="V79" s="131">
        <v>4374.31</v>
      </c>
      <c r="W79" s="44"/>
    </row>
    <row r="80" spans="1:23" ht="12.75">
      <c r="A80" s="852">
        <v>610</v>
      </c>
      <c r="B80" s="920"/>
      <c r="C80" s="865" t="s">
        <v>505</v>
      </c>
      <c r="D80" s="38"/>
      <c r="E80" s="921">
        <v>982</v>
      </c>
      <c r="F80" s="38"/>
      <c r="G80" s="922">
        <v>1759</v>
      </c>
      <c r="H80" s="92"/>
      <c r="I80" s="922">
        <v>2536</v>
      </c>
      <c r="J80" s="61"/>
      <c r="K80" s="933">
        <v>4500</v>
      </c>
      <c r="L80" s="924">
        <v>3282</v>
      </c>
      <c r="M80" s="934">
        <v>4500</v>
      </c>
      <c r="N80" s="965">
        <v>1078.99</v>
      </c>
      <c r="O80" s="934"/>
      <c r="P80" s="934">
        <v>4500</v>
      </c>
      <c r="Q80" s="934">
        <v>2166.59</v>
      </c>
      <c r="R80" s="934">
        <v>4776</v>
      </c>
      <c r="S80" s="934">
        <v>3357.11</v>
      </c>
      <c r="T80" s="959">
        <v>4547.06</v>
      </c>
      <c r="U80" s="994"/>
      <c r="V80" s="934">
        <v>4547.06</v>
      </c>
      <c r="W80" s="61"/>
    </row>
    <row r="81" spans="1:23" ht="12.75">
      <c r="A81" s="45">
        <v>620</v>
      </c>
      <c r="B81" s="46"/>
      <c r="C81" s="35" t="s">
        <v>166</v>
      </c>
      <c r="D81" s="38">
        <v>3200</v>
      </c>
      <c r="E81" s="63">
        <v>390</v>
      </c>
      <c r="F81" s="38"/>
      <c r="G81" s="63">
        <v>643</v>
      </c>
      <c r="H81" s="92"/>
      <c r="I81" s="63">
        <v>1024</v>
      </c>
      <c r="J81" s="61"/>
      <c r="K81" s="62">
        <v>3200</v>
      </c>
      <c r="L81" s="131">
        <v>1716</v>
      </c>
      <c r="M81" s="131">
        <v>3200</v>
      </c>
      <c r="N81" s="63">
        <v>690.23</v>
      </c>
      <c r="O81" s="131"/>
      <c r="P81" s="131">
        <v>3200</v>
      </c>
      <c r="Q81" s="131">
        <v>1289.49</v>
      </c>
      <c r="R81" s="131">
        <v>3200</v>
      </c>
      <c r="S81" s="131">
        <v>1991.67</v>
      </c>
      <c r="T81" s="186">
        <v>3200</v>
      </c>
      <c r="U81" s="988"/>
      <c r="V81" s="131">
        <v>2734.47</v>
      </c>
      <c r="W81" s="61"/>
    </row>
    <row r="82" spans="1:23" ht="12.75">
      <c r="A82" s="852">
        <v>620</v>
      </c>
      <c r="B82" s="920"/>
      <c r="C82" s="897" t="s">
        <v>506</v>
      </c>
      <c r="D82" s="866"/>
      <c r="E82" s="921">
        <v>407</v>
      </c>
      <c r="F82" s="866"/>
      <c r="G82" s="922">
        <v>686</v>
      </c>
      <c r="H82" s="92"/>
      <c r="I82" s="922">
        <v>1102</v>
      </c>
      <c r="J82" s="61"/>
      <c r="K82" s="933">
        <v>1500</v>
      </c>
      <c r="L82" s="924">
        <v>1380</v>
      </c>
      <c r="M82" s="934">
        <v>1500</v>
      </c>
      <c r="N82" s="965">
        <v>15.43</v>
      </c>
      <c r="O82" s="934"/>
      <c r="P82" s="995">
        <v>1500</v>
      </c>
      <c r="Q82" s="934">
        <v>121.83</v>
      </c>
      <c r="R82" s="934"/>
      <c r="S82" s="934">
        <v>125.31</v>
      </c>
      <c r="T82" s="959">
        <v>125.31</v>
      </c>
      <c r="U82" s="994"/>
      <c r="V82" s="934">
        <v>125.31</v>
      </c>
      <c r="W82" s="61"/>
    </row>
    <row r="83" spans="1:23" ht="12.75">
      <c r="A83" s="34">
        <v>632</v>
      </c>
      <c r="B83" s="46"/>
      <c r="C83" s="35" t="s">
        <v>170</v>
      </c>
      <c r="D83" s="38">
        <v>7</v>
      </c>
      <c r="E83" s="63">
        <v>2</v>
      </c>
      <c r="F83" s="38"/>
      <c r="G83" s="63">
        <v>3</v>
      </c>
      <c r="H83" s="92"/>
      <c r="I83" s="63">
        <v>13</v>
      </c>
      <c r="J83" s="61"/>
      <c r="K83" s="131">
        <v>15</v>
      </c>
      <c r="L83" s="131">
        <v>16</v>
      </c>
      <c r="M83" s="131">
        <v>15</v>
      </c>
      <c r="N83" s="63"/>
      <c r="O83" s="131"/>
      <c r="P83" s="131">
        <v>15</v>
      </c>
      <c r="Q83" s="988">
        <v>0.6</v>
      </c>
      <c r="R83" s="988">
        <v>15</v>
      </c>
      <c r="S83" s="988">
        <v>2.7</v>
      </c>
      <c r="T83" s="186">
        <v>15</v>
      </c>
      <c r="U83" s="988"/>
      <c r="V83" s="988">
        <v>4.2</v>
      </c>
      <c r="W83" s="61"/>
    </row>
    <row r="84" spans="1:23" ht="12.75">
      <c r="A84" s="34">
        <v>633</v>
      </c>
      <c r="B84" s="46"/>
      <c r="C84" s="35" t="s">
        <v>172</v>
      </c>
      <c r="D84" s="38">
        <v>500</v>
      </c>
      <c r="E84" s="63">
        <v>46</v>
      </c>
      <c r="F84" s="38"/>
      <c r="G84" s="63">
        <v>168</v>
      </c>
      <c r="H84" s="92"/>
      <c r="I84" s="63">
        <f>I85+I86</f>
        <v>225</v>
      </c>
      <c r="J84" s="131"/>
      <c r="K84" s="131">
        <f>SUM(K85,K86)</f>
        <v>392</v>
      </c>
      <c r="L84" s="131">
        <v>170</v>
      </c>
      <c r="M84" s="131">
        <v>400</v>
      </c>
      <c r="N84" s="63">
        <v>102.16</v>
      </c>
      <c r="O84" s="131"/>
      <c r="P84" s="131">
        <v>400</v>
      </c>
      <c r="Q84" s="131">
        <f>Q85+Q86</f>
        <v>111.82</v>
      </c>
      <c r="R84" s="131">
        <v>400</v>
      </c>
      <c r="S84" s="131">
        <f>S85+S86</f>
        <v>140.99</v>
      </c>
      <c r="T84" s="186">
        <v>400</v>
      </c>
      <c r="U84" s="988"/>
      <c r="V84" s="131">
        <f>V85+V86</f>
        <v>959.47</v>
      </c>
      <c r="W84" s="61"/>
    </row>
    <row r="85" spans="1:23" ht="12.75">
      <c r="A85" s="34">
        <v>633</v>
      </c>
      <c r="B85" s="46" t="s">
        <v>73</v>
      </c>
      <c r="C85" s="35" t="s">
        <v>330</v>
      </c>
      <c r="D85" s="973">
        <v>500</v>
      </c>
      <c r="E85" s="276">
        <v>46</v>
      </c>
      <c r="F85" s="973"/>
      <c r="G85" s="276">
        <v>68</v>
      </c>
      <c r="H85" s="92"/>
      <c r="I85" s="276">
        <v>112</v>
      </c>
      <c r="J85" s="61"/>
      <c r="K85" s="131">
        <v>192</v>
      </c>
      <c r="L85" s="131">
        <v>170</v>
      </c>
      <c r="M85" s="131">
        <v>200</v>
      </c>
      <c r="N85" s="276">
        <v>2.58</v>
      </c>
      <c r="O85" s="131"/>
      <c r="P85" s="131">
        <v>200</v>
      </c>
      <c r="Q85" s="253">
        <v>12.24</v>
      </c>
      <c r="R85" s="253"/>
      <c r="S85" s="253">
        <v>41.41</v>
      </c>
      <c r="T85" s="976">
        <v>300.42</v>
      </c>
      <c r="U85" s="988"/>
      <c r="V85" s="253">
        <v>859.89</v>
      </c>
      <c r="W85" s="61"/>
    </row>
    <row r="86" spans="1:23" ht="12.75">
      <c r="A86" s="896">
        <v>633</v>
      </c>
      <c r="B86" s="920"/>
      <c r="C86" s="897" t="s">
        <v>507</v>
      </c>
      <c r="D86" s="973"/>
      <c r="E86" s="276">
        <v>0</v>
      </c>
      <c r="F86" s="973"/>
      <c r="G86" s="996">
        <v>100</v>
      </c>
      <c r="H86" s="92"/>
      <c r="I86" s="996">
        <v>113</v>
      </c>
      <c r="J86" s="61"/>
      <c r="K86" s="131">
        <v>200</v>
      </c>
      <c r="L86" s="924">
        <v>113</v>
      </c>
      <c r="M86" s="131">
        <v>0</v>
      </c>
      <c r="N86" s="958">
        <v>99.58</v>
      </c>
      <c r="O86" s="131"/>
      <c r="P86" s="131">
        <v>0</v>
      </c>
      <c r="Q86" s="995">
        <v>99.58</v>
      </c>
      <c r="R86" s="995"/>
      <c r="S86" s="995">
        <v>99.58</v>
      </c>
      <c r="T86" s="959">
        <v>99.58</v>
      </c>
      <c r="U86" s="988"/>
      <c r="V86" s="995">
        <v>99.58</v>
      </c>
      <c r="W86" s="94"/>
    </row>
    <row r="87" spans="1:23" ht="12.75">
      <c r="A87" s="34">
        <v>635</v>
      </c>
      <c r="B87" s="46"/>
      <c r="C87" s="35" t="s">
        <v>272</v>
      </c>
      <c r="D87" s="38">
        <v>0</v>
      </c>
      <c r="E87" s="63">
        <v>0</v>
      </c>
      <c r="F87" s="38"/>
      <c r="G87" s="63">
        <v>0</v>
      </c>
      <c r="H87" s="92"/>
      <c r="I87" s="63">
        <v>0</v>
      </c>
      <c r="J87" s="61"/>
      <c r="K87" s="131">
        <v>0</v>
      </c>
      <c r="L87" s="131">
        <v>0</v>
      </c>
      <c r="M87" s="131">
        <v>0</v>
      </c>
      <c r="N87" s="63"/>
      <c r="O87" s="131"/>
      <c r="P87" s="131">
        <v>0</v>
      </c>
      <c r="Q87" s="131"/>
      <c r="R87" s="131"/>
      <c r="S87" s="131"/>
      <c r="T87" s="186">
        <v>0</v>
      </c>
      <c r="U87" s="988"/>
      <c r="V87" s="131"/>
      <c r="W87" s="61"/>
    </row>
    <row r="88" spans="1:23" ht="12.75">
      <c r="A88" s="141">
        <v>637</v>
      </c>
      <c r="B88" s="145"/>
      <c r="C88" s="97" t="s">
        <v>180</v>
      </c>
      <c r="D88" s="38">
        <v>50</v>
      </c>
      <c r="E88" s="63">
        <v>70</v>
      </c>
      <c r="F88" s="38"/>
      <c r="G88" s="63">
        <v>70</v>
      </c>
      <c r="H88" s="92"/>
      <c r="I88" s="63">
        <v>178</v>
      </c>
      <c r="J88" s="61"/>
      <c r="K88" s="131">
        <v>200</v>
      </c>
      <c r="L88" s="131">
        <v>256</v>
      </c>
      <c r="M88" s="131">
        <v>200</v>
      </c>
      <c r="N88" s="63">
        <v>69.6</v>
      </c>
      <c r="O88" s="131"/>
      <c r="P88" s="131">
        <v>200</v>
      </c>
      <c r="Q88" s="131">
        <v>69.6</v>
      </c>
      <c r="R88" s="131">
        <v>200</v>
      </c>
      <c r="S88" s="131">
        <v>94.69</v>
      </c>
      <c r="T88" s="186">
        <v>200</v>
      </c>
      <c r="U88" s="988"/>
      <c r="V88" s="131">
        <v>94.69</v>
      </c>
      <c r="W88" s="61"/>
    </row>
    <row r="89" spans="1:23" ht="12.75">
      <c r="A89" s="34">
        <v>637</v>
      </c>
      <c r="B89" s="35" t="s">
        <v>31</v>
      </c>
      <c r="C89" s="35" t="s">
        <v>508</v>
      </c>
      <c r="D89" s="973">
        <v>50</v>
      </c>
      <c r="E89" s="973"/>
      <c r="F89" s="973"/>
      <c r="G89" s="973"/>
      <c r="H89" s="53"/>
      <c r="I89" s="973"/>
      <c r="J89" s="44"/>
      <c r="K89" s="131">
        <v>0</v>
      </c>
      <c r="L89" s="131">
        <v>0</v>
      </c>
      <c r="M89" s="131">
        <v>0</v>
      </c>
      <c r="N89" s="973"/>
      <c r="O89" s="131"/>
      <c r="P89" s="131">
        <v>0</v>
      </c>
      <c r="Q89" s="131">
        <v>0</v>
      </c>
      <c r="R89" s="131"/>
      <c r="S89" s="131"/>
      <c r="T89" s="186">
        <v>0</v>
      </c>
      <c r="U89" s="988"/>
      <c r="V89" s="131"/>
      <c r="W89" s="61"/>
    </row>
    <row r="90" spans="1:23" ht="12.75">
      <c r="A90" s="997" t="s">
        <v>509</v>
      </c>
      <c r="B90" s="998"/>
      <c r="C90" s="999" t="s">
        <v>510</v>
      </c>
      <c r="D90" s="1000">
        <f>D7+D73+D78</f>
        <v>171936</v>
      </c>
      <c r="E90" s="1000">
        <v>52481</v>
      </c>
      <c r="F90" s="1001">
        <v>30.52</v>
      </c>
      <c r="G90" s="1000">
        <v>100011</v>
      </c>
      <c r="H90" s="1002">
        <v>58.17</v>
      </c>
      <c r="I90" s="1003">
        <f>I7+I73+I78</f>
        <v>137744</v>
      </c>
      <c r="J90" s="1001">
        <v>80.11</v>
      </c>
      <c r="K90" s="1000">
        <f>SUM(K7,K73,K78)</f>
        <v>181472</v>
      </c>
      <c r="L90" s="1000">
        <f>SUM(L7,L73,L78)</f>
        <v>187352</v>
      </c>
      <c r="M90" s="1000">
        <f>SUM(M7,M73,M78)</f>
        <v>171955</v>
      </c>
      <c r="N90" s="1000">
        <f>N7+N73+N78</f>
        <v>45322.46</v>
      </c>
      <c r="O90" s="1004">
        <f>SUM(O7,O73,O78)</f>
        <v>2600</v>
      </c>
      <c r="P90" s="1000">
        <f>SUM(P7,P73,P78)</f>
        <v>174555</v>
      </c>
      <c r="Q90" s="1001">
        <f>Q7+Q73+Q78</f>
        <v>90905.51</v>
      </c>
      <c r="R90" s="1001">
        <f>R78+R73+R7</f>
        <v>174555</v>
      </c>
      <c r="S90" s="1001">
        <f>S78+S73+S7</f>
        <v>131428.00999999998</v>
      </c>
      <c r="T90" s="1001">
        <f>SUM(T7,T73,T78)</f>
        <v>182881.3</v>
      </c>
      <c r="U90" s="1005">
        <f>U7+U73+U78</f>
        <v>8326.3</v>
      </c>
      <c r="V90" s="1001">
        <f>V7+V73+V78</f>
        <v>181983.51</v>
      </c>
      <c r="W90" s="1006">
        <f>V90/T90*100</f>
        <v>99.50908594809859</v>
      </c>
    </row>
    <row r="91" spans="1:22" s="5" customFormat="1" ht="12.75">
      <c r="A91" s="110"/>
      <c r="B91" s="110"/>
      <c r="C91" s="110"/>
      <c r="D91" s="1007"/>
      <c r="E91" s="1007"/>
      <c r="F91" s="1007"/>
      <c r="G91" s="1007"/>
      <c r="H91" s="1008"/>
      <c r="K91" s="1"/>
      <c r="L91" s="1"/>
      <c r="M91" s="1"/>
      <c r="N91" s="1009"/>
      <c r="O91" s="1"/>
      <c r="P91" s="1"/>
      <c r="Q91" s="1"/>
      <c r="R91" s="1"/>
      <c r="S91" s="1"/>
      <c r="T91" s="1"/>
      <c r="U91" s="1"/>
      <c r="V91" s="1"/>
    </row>
    <row r="92" spans="1:22" s="5" customFormat="1" ht="12.75" hidden="1">
      <c r="A92" s="110"/>
      <c r="B92" s="110"/>
      <c r="C92" s="110"/>
      <c r="D92" s="1007"/>
      <c r="E92" s="1007"/>
      <c r="F92" s="1007"/>
      <c r="G92" s="1007"/>
      <c r="H92" s="1008"/>
      <c r="K92" s="1"/>
      <c r="L92" s="1"/>
      <c r="M92" s="1"/>
      <c r="N92" s="1009"/>
      <c r="O92" s="1"/>
      <c r="P92" s="1"/>
      <c r="Q92" s="1"/>
      <c r="R92" s="1"/>
      <c r="S92" s="1"/>
      <c r="T92" s="1"/>
      <c r="U92" s="1"/>
      <c r="V92" s="1"/>
    </row>
    <row r="93" spans="1:22" s="5" customFormat="1" ht="12.75" hidden="1">
      <c r="A93" s="110"/>
      <c r="B93" s="110"/>
      <c r="C93" s="110"/>
      <c r="D93" s="1007"/>
      <c r="E93" s="1007"/>
      <c r="F93" s="1007"/>
      <c r="G93" s="1007"/>
      <c r="H93" s="1008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s="5" customFormat="1" ht="12.75" hidden="1">
      <c r="A94" s="110"/>
      <c r="B94" s="110"/>
      <c r="C94" s="110"/>
      <c r="D94" s="1007"/>
      <c r="E94" s="1007"/>
      <c r="F94" s="1007"/>
      <c r="G94" s="1007"/>
      <c r="H94" s="1008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s="5" customFormat="1" ht="12.75" hidden="1">
      <c r="A95" s="110"/>
      <c r="B95" s="110"/>
      <c r="C95" s="110"/>
      <c r="D95" s="1007"/>
      <c r="E95" s="1007"/>
      <c r="F95" s="1007"/>
      <c r="G95" s="1007"/>
      <c r="H95" s="100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s="5" customFormat="1" ht="12.75" hidden="1">
      <c r="A96" s="110"/>
      <c r="B96" s="110"/>
      <c r="C96" s="110"/>
      <c r="D96" s="1007"/>
      <c r="E96" s="1007"/>
      <c r="F96" s="1007"/>
      <c r="G96" s="1007"/>
      <c r="H96" s="100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s="5" customFormat="1" ht="12.75" hidden="1">
      <c r="A97" s="110"/>
      <c r="B97" s="110"/>
      <c r="C97" s="110"/>
      <c r="D97" s="1007"/>
      <c r="E97" s="1007"/>
      <c r="F97" s="1007"/>
      <c r="G97" s="1007"/>
      <c r="H97" s="100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s="5" customFormat="1" ht="12.75" hidden="1">
      <c r="A98" s="110"/>
      <c r="B98" s="110"/>
      <c r="C98" s="110"/>
      <c r="D98" s="1007"/>
      <c r="E98" s="1007"/>
      <c r="F98" s="1007"/>
      <c r="G98" s="1007"/>
      <c r="H98" s="100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s="5" customFormat="1" ht="12.75">
      <c r="A99" s="110"/>
      <c r="B99" s="110"/>
      <c r="C99" s="110"/>
      <c r="D99" s="1007"/>
      <c r="E99" s="1007"/>
      <c r="F99" s="1007"/>
      <c r="G99" s="1007"/>
      <c r="H99" s="1008"/>
      <c r="K99" s="1596" t="s">
        <v>511</v>
      </c>
      <c r="L99" s="1596"/>
      <c r="M99" s="1596"/>
      <c r="N99" s="1596"/>
      <c r="O99" s="1596"/>
      <c r="P99" s="1596"/>
      <c r="Q99" s="1596"/>
      <c r="R99" s="1596"/>
      <c r="S99" s="1596"/>
      <c r="T99" s="1596"/>
      <c r="U99" s="1"/>
      <c r="V99" s="1"/>
    </row>
    <row r="100" spans="1:22" s="5" customFormat="1" ht="12.75">
      <c r="A100" s="110"/>
      <c r="B100" s="110"/>
      <c r="C100" s="110"/>
      <c r="D100" s="1007"/>
      <c r="E100" s="1007"/>
      <c r="F100" s="1007"/>
      <c r="G100" s="1007"/>
      <c r="H100" s="1008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3" s="833" customFormat="1" ht="39.75" customHeight="1">
      <c r="A101" s="822" t="s">
        <v>414</v>
      </c>
      <c r="B101" s="823"/>
      <c r="C101" s="824"/>
      <c r="D101" s="1010" t="s">
        <v>13</v>
      </c>
      <c r="E101" s="1010" t="s">
        <v>14</v>
      </c>
      <c r="F101" s="827" t="s">
        <v>15</v>
      </c>
      <c r="G101" s="1010" t="s">
        <v>16</v>
      </c>
      <c r="H101" s="827" t="s">
        <v>15</v>
      </c>
      <c r="I101" s="1010" t="s">
        <v>17</v>
      </c>
      <c r="J101" s="827" t="s">
        <v>15</v>
      </c>
      <c r="K101" s="828" t="s">
        <v>20</v>
      </c>
      <c r="L101" s="829" t="s">
        <v>18</v>
      </c>
      <c r="M101" s="830">
        <v>2012</v>
      </c>
      <c r="N101" s="831" t="s">
        <v>435</v>
      </c>
      <c r="O101" s="828" t="s">
        <v>20</v>
      </c>
      <c r="P101" s="828" t="s">
        <v>21</v>
      </c>
      <c r="Q101" s="21" t="s">
        <v>22</v>
      </c>
      <c r="R101" s="21" t="s">
        <v>436</v>
      </c>
      <c r="S101" s="21" t="s">
        <v>23</v>
      </c>
      <c r="T101" s="20" t="s">
        <v>24</v>
      </c>
      <c r="U101" s="19" t="s">
        <v>437</v>
      </c>
      <c r="V101" s="22" t="s">
        <v>26</v>
      </c>
      <c r="W101" s="827" t="s">
        <v>15</v>
      </c>
    </row>
    <row r="102" spans="1:23" s="286" customFormat="1" ht="12.75">
      <c r="A102" s="834" t="s">
        <v>512</v>
      </c>
      <c r="B102" s="981"/>
      <c r="C102" s="981"/>
      <c r="D102" s="984">
        <f>D103+D105</f>
        <v>200</v>
      </c>
      <c r="E102" s="984">
        <v>0</v>
      </c>
      <c r="F102" s="984"/>
      <c r="G102" s="1011">
        <v>0</v>
      </c>
      <c r="H102" s="86"/>
      <c r="I102" s="1011">
        <f>I103+I105</f>
        <v>64</v>
      </c>
      <c r="J102" s="992">
        <v>32</v>
      </c>
      <c r="K102" s="1012">
        <f>SUM(K103,K105)</f>
        <v>200</v>
      </c>
      <c r="L102" s="1012">
        <f>SUM(L103,L105)</f>
        <v>338</v>
      </c>
      <c r="M102" s="1012">
        <f>SUM(M103,M105)</f>
        <v>300</v>
      </c>
      <c r="N102" s="982">
        <f>N103+N105</f>
        <v>46.51</v>
      </c>
      <c r="O102" s="1013">
        <f>O103</f>
        <v>140</v>
      </c>
      <c r="P102" s="1012">
        <f>SUM(P103,P105)</f>
        <v>440</v>
      </c>
      <c r="Q102" s="1012">
        <f>Q103+Q105</f>
        <v>221.94</v>
      </c>
      <c r="R102" s="1014">
        <f>R103+R105</f>
        <v>440</v>
      </c>
      <c r="S102" s="1012">
        <f>S103+S105</f>
        <v>295.42</v>
      </c>
      <c r="T102" s="1014">
        <f>SUM(T103,T105)</f>
        <v>520</v>
      </c>
      <c r="U102" s="1015">
        <f>U103</f>
        <v>80</v>
      </c>
      <c r="V102" s="1014">
        <f>V103+V105+V104</f>
        <v>590.9300000000001</v>
      </c>
      <c r="W102" s="843">
        <f>V102/T102*100</f>
        <v>113.64038461538463</v>
      </c>
    </row>
    <row r="103" spans="1:23" s="5" customFormat="1" ht="12.75">
      <c r="A103" s="34">
        <v>632</v>
      </c>
      <c r="B103" s="46" t="s">
        <v>28</v>
      </c>
      <c r="C103" s="35" t="s">
        <v>513</v>
      </c>
      <c r="D103" s="1016">
        <v>0</v>
      </c>
      <c r="E103" s="1016">
        <v>0</v>
      </c>
      <c r="F103" s="1016"/>
      <c r="G103" s="1016">
        <v>0</v>
      </c>
      <c r="H103" s="92"/>
      <c r="I103" s="1016">
        <v>64</v>
      </c>
      <c r="J103" s="131"/>
      <c r="K103" s="131">
        <v>80</v>
      </c>
      <c r="L103" s="131">
        <v>143</v>
      </c>
      <c r="M103" s="131">
        <v>100</v>
      </c>
      <c r="N103" s="38">
        <v>46.51</v>
      </c>
      <c r="O103" s="949">
        <v>140</v>
      </c>
      <c r="P103" s="131">
        <v>240</v>
      </c>
      <c r="Q103" s="131">
        <v>124.26</v>
      </c>
      <c r="R103" s="988">
        <v>240</v>
      </c>
      <c r="S103" s="131">
        <v>197.74</v>
      </c>
      <c r="T103" s="988">
        <v>320</v>
      </c>
      <c r="U103" s="987">
        <v>80</v>
      </c>
      <c r="V103" s="131">
        <v>275.57</v>
      </c>
      <c r="W103" s="44"/>
    </row>
    <row r="104" spans="1:23" s="5" customFormat="1" ht="12.75">
      <c r="A104" s="34">
        <v>637</v>
      </c>
      <c r="B104" s="46" t="s">
        <v>55</v>
      </c>
      <c r="C104" s="35" t="s">
        <v>514</v>
      </c>
      <c r="D104" s="1016"/>
      <c r="E104" s="1016"/>
      <c r="F104" s="1016"/>
      <c r="G104" s="1016"/>
      <c r="H104" s="92"/>
      <c r="I104" s="1016"/>
      <c r="J104" s="131"/>
      <c r="K104" s="131"/>
      <c r="L104" s="131"/>
      <c r="M104" s="131"/>
      <c r="N104" s="38"/>
      <c r="O104" s="949"/>
      <c r="P104" s="131"/>
      <c r="Q104" s="131"/>
      <c r="R104" s="988"/>
      <c r="S104" s="131"/>
      <c r="T104" s="988"/>
      <c r="U104" s="987"/>
      <c r="V104" s="988">
        <v>120</v>
      </c>
      <c r="W104" s="44"/>
    </row>
    <row r="105" spans="1:23" ht="12.75">
      <c r="A105" s="34">
        <v>637</v>
      </c>
      <c r="B105" s="46" t="s">
        <v>494</v>
      </c>
      <c r="C105" s="35" t="s">
        <v>233</v>
      </c>
      <c r="D105" s="1016">
        <v>200</v>
      </c>
      <c r="E105" s="167">
        <v>0</v>
      </c>
      <c r="F105" s="1016"/>
      <c r="G105" s="167">
        <v>0</v>
      </c>
      <c r="H105" s="92"/>
      <c r="I105" s="167">
        <v>0</v>
      </c>
      <c r="J105" s="131"/>
      <c r="K105" s="131">
        <v>120</v>
      </c>
      <c r="L105" s="131">
        <v>195</v>
      </c>
      <c r="M105" s="131">
        <v>200</v>
      </c>
      <c r="N105" s="38"/>
      <c r="O105" s="131"/>
      <c r="P105" s="131">
        <v>200</v>
      </c>
      <c r="Q105" s="131">
        <v>97.68</v>
      </c>
      <c r="R105" s="988">
        <v>200</v>
      </c>
      <c r="S105" s="131">
        <v>97.68</v>
      </c>
      <c r="T105" s="988">
        <v>200</v>
      </c>
      <c r="U105" s="988"/>
      <c r="V105" s="131">
        <v>195.36</v>
      </c>
      <c r="W105" s="61"/>
    </row>
    <row r="106" spans="1:23" ht="12.75">
      <c r="A106" s="997" t="s">
        <v>515</v>
      </c>
      <c r="B106" s="998"/>
      <c r="C106" s="999" t="s">
        <v>231</v>
      </c>
      <c r="D106" s="1000">
        <f>D102</f>
        <v>200</v>
      </c>
      <c r="E106" s="1000">
        <v>0</v>
      </c>
      <c r="F106" s="1000"/>
      <c r="G106" s="1000">
        <v>0</v>
      </c>
      <c r="H106" s="1002"/>
      <c r="I106" s="1003">
        <f>I102</f>
        <v>64</v>
      </c>
      <c r="J106" s="1017">
        <v>32</v>
      </c>
      <c r="K106" s="1018">
        <f>SUM(K103,K105)</f>
        <v>200</v>
      </c>
      <c r="L106" s="1018">
        <f>SUM(L103,L105)</f>
        <v>338</v>
      </c>
      <c r="M106" s="1018">
        <f>SUM(M103,M105)</f>
        <v>300</v>
      </c>
      <c r="N106" s="1003">
        <f>N102</f>
        <v>46.51</v>
      </c>
      <c r="O106" s="1019">
        <v>140</v>
      </c>
      <c r="P106" s="1018">
        <f>SUM(P103,P105)</f>
        <v>440</v>
      </c>
      <c r="Q106" s="1018">
        <f>Q102</f>
        <v>221.94</v>
      </c>
      <c r="R106" s="1017">
        <f>R102</f>
        <v>440</v>
      </c>
      <c r="S106" s="1018">
        <f>S102</f>
        <v>295.42</v>
      </c>
      <c r="T106" s="1017">
        <f>SUM(T103,T105)</f>
        <v>520</v>
      </c>
      <c r="U106" s="1020">
        <f>U102</f>
        <v>80</v>
      </c>
      <c r="V106" s="1018">
        <f>V102</f>
        <v>590.9300000000001</v>
      </c>
      <c r="W106" s="1006">
        <f>V106/T106*100</f>
        <v>113.64038461538463</v>
      </c>
    </row>
    <row r="107" spans="1:22" ht="12.75">
      <c r="A107" s="1021"/>
      <c r="B107" s="110"/>
      <c r="C107" s="286"/>
      <c r="D107" s="287"/>
      <c r="E107" s="287"/>
      <c r="F107" s="287"/>
      <c r="G107" s="287"/>
      <c r="H107" s="1022"/>
      <c r="I107" s="28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V107" s="5"/>
    </row>
    <row r="108" spans="1:22" ht="12.75" hidden="1">
      <c r="A108" s="1021"/>
      <c r="B108" s="110"/>
      <c r="C108" s="286"/>
      <c r="D108" s="287"/>
      <c r="E108" s="287"/>
      <c r="F108" s="287"/>
      <c r="G108" s="287"/>
      <c r="H108" s="1022"/>
      <c r="I108" s="28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V108" s="5"/>
    </row>
    <row r="109" spans="1:22" ht="12.75" hidden="1">
      <c r="A109" s="1021"/>
      <c r="B109" s="110"/>
      <c r="C109" s="286"/>
      <c r="D109" s="287"/>
      <c r="E109" s="287"/>
      <c r="F109" s="287"/>
      <c r="G109" s="287"/>
      <c r="H109" s="1022"/>
      <c r="I109" s="28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V109" s="5"/>
    </row>
    <row r="110" spans="1:22" ht="12.75" hidden="1">
      <c r="A110" s="1021"/>
      <c r="B110" s="110"/>
      <c r="C110" s="286"/>
      <c r="D110" s="287"/>
      <c r="E110" s="287"/>
      <c r="F110" s="287"/>
      <c r="G110" s="287"/>
      <c r="H110" s="1022"/>
      <c r="I110" s="28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V110" s="5"/>
    </row>
    <row r="111" spans="1:22" ht="12.75" hidden="1">
      <c r="A111" s="1021"/>
      <c r="B111" s="110"/>
      <c r="C111" s="286"/>
      <c r="D111" s="287"/>
      <c r="E111" s="287"/>
      <c r="F111" s="287"/>
      <c r="G111" s="287"/>
      <c r="H111" s="1022"/>
      <c r="I111" s="28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V111" s="5"/>
    </row>
    <row r="112" spans="1:22" ht="12.75" hidden="1">
      <c r="A112" s="1021"/>
      <c r="B112" s="110"/>
      <c r="C112" s="286"/>
      <c r="D112" s="287"/>
      <c r="E112" s="287"/>
      <c r="F112" s="287"/>
      <c r="G112" s="287"/>
      <c r="H112" s="1022"/>
      <c r="I112" s="28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V112" s="5"/>
    </row>
    <row r="113" spans="1:22" ht="12.75" hidden="1">
      <c r="A113" s="1021"/>
      <c r="B113" s="110"/>
      <c r="C113" s="286"/>
      <c r="D113" s="287"/>
      <c r="E113" s="287"/>
      <c r="F113" s="287"/>
      <c r="G113" s="287"/>
      <c r="H113" s="1022"/>
      <c r="I113" s="28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V113" s="5"/>
    </row>
    <row r="114" spans="1:22" ht="12.75" hidden="1">
      <c r="A114" s="1021"/>
      <c r="B114" s="110"/>
      <c r="C114" s="286"/>
      <c r="D114" s="287"/>
      <c r="E114" s="287"/>
      <c r="F114" s="287"/>
      <c r="G114" s="287"/>
      <c r="H114" s="1022"/>
      <c r="I114" s="28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V114" s="5"/>
    </row>
    <row r="115" spans="1:22" ht="12.75" hidden="1">
      <c r="A115" s="1021"/>
      <c r="B115" s="110"/>
      <c r="C115" s="286"/>
      <c r="D115" s="287"/>
      <c r="E115" s="287"/>
      <c r="F115" s="287"/>
      <c r="G115" s="287"/>
      <c r="H115" s="1022"/>
      <c r="I115" s="28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V115" s="5"/>
    </row>
    <row r="116" spans="1:22" ht="12.75" hidden="1">
      <c r="A116" s="1021"/>
      <c r="B116" s="110"/>
      <c r="C116" s="286"/>
      <c r="D116" s="287"/>
      <c r="E116" s="287"/>
      <c r="F116" s="287"/>
      <c r="G116" s="287"/>
      <c r="H116" s="1022"/>
      <c r="I116" s="28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V116" s="5"/>
    </row>
    <row r="117" spans="1:20" ht="12.75">
      <c r="A117" s="1021"/>
      <c r="B117" s="110"/>
      <c r="C117" s="286"/>
      <c r="D117" s="287"/>
      <c r="E117" s="287"/>
      <c r="F117" s="287"/>
      <c r="G117" s="287"/>
      <c r="H117" s="1022"/>
      <c r="I117" s="287"/>
      <c r="J117" s="5"/>
      <c r="K117" s="1596" t="s">
        <v>516</v>
      </c>
      <c r="L117" s="1596"/>
      <c r="M117" s="1596"/>
      <c r="N117" s="1596"/>
      <c r="O117" s="1596"/>
      <c r="P117" s="1596"/>
      <c r="Q117" s="1596"/>
      <c r="R117" s="1596"/>
      <c r="S117" s="1596"/>
      <c r="T117" s="1596"/>
    </row>
    <row r="118" spans="1:22" ht="12.75">
      <c r="A118" s="1021"/>
      <c r="B118" s="110"/>
      <c r="C118" s="286"/>
      <c r="D118" s="287"/>
      <c r="E118" s="287"/>
      <c r="F118" s="287"/>
      <c r="G118" s="287"/>
      <c r="H118" s="1022"/>
      <c r="I118" s="287"/>
      <c r="J118" s="5"/>
      <c r="K118" s="1023"/>
      <c r="L118" s="1023"/>
      <c r="M118" s="1023"/>
      <c r="N118" s="1023"/>
      <c r="O118" s="1023"/>
      <c r="P118" s="1023"/>
      <c r="Q118" s="1023"/>
      <c r="R118" s="1023"/>
      <c r="S118" s="1023"/>
      <c r="T118" s="1023"/>
      <c r="V118" s="1023"/>
    </row>
    <row r="119" spans="1:23" s="1024" customFormat="1" ht="39.75" customHeight="1">
      <c r="A119" s="822" t="s">
        <v>414</v>
      </c>
      <c r="B119" s="823"/>
      <c r="C119" s="824"/>
      <c r="D119" s="1010" t="s">
        <v>13</v>
      </c>
      <c r="E119" s="1010" t="s">
        <v>14</v>
      </c>
      <c r="F119" s="827" t="s">
        <v>15</v>
      </c>
      <c r="G119" s="1010" t="s">
        <v>16</v>
      </c>
      <c r="H119" s="827" t="s">
        <v>15</v>
      </c>
      <c r="I119" s="1010" t="s">
        <v>17</v>
      </c>
      <c r="J119" s="827" t="s">
        <v>15</v>
      </c>
      <c r="K119" s="828" t="s">
        <v>20</v>
      </c>
      <c r="L119" s="829" t="s">
        <v>517</v>
      </c>
      <c r="M119" s="830">
        <v>2012</v>
      </c>
      <c r="N119" s="831" t="s">
        <v>435</v>
      </c>
      <c r="O119" s="828" t="s">
        <v>20</v>
      </c>
      <c r="P119" s="828" t="s">
        <v>21</v>
      </c>
      <c r="Q119" s="21" t="s">
        <v>22</v>
      </c>
      <c r="R119" s="21" t="s">
        <v>436</v>
      </c>
      <c r="S119" s="21" t="s">
        <v>23</v>
      </c>
      <c r="T119" s="20" t="s">
        <v>24</v>
      </c>
      <c r="U119" s="19" t="s">
        <v>437</v>
      </c>
      <c r="V119" s="22" t="s">
        <v>26</v>
      </c>
      <c r="W119" s="827" t="s">
        <v>15</v>
      </c>
    </row>
    <row r="120" spans="1:23" s="4" customFormat="1" ht="12.75">
      <c r="A120" s="834" t="s">
        <v>518</v>
      </c>
      <c r="B120" s="991"/>
      <c r="C120" s="981"/>
      <c r="D120" s="83">
        <f>D121+D122+D124+D125+D130+D135+D136+D137</f>
        <v>43220</v>
      </c>
      <c r="E120" s="83">
        <f>E121+E122+E124+E125+E130+E135+E137+E136</f>
        <v>11544</v>
      </c>
      <c r="F120" s="84">
        <v>26.71</v>
      </c>
      <c r="G120" s="83">
        <f>G121+G122+G124+G125+G130+G135+G137+G136</f>
        <v>22763</v>
      </c>
      <c r="H120" s="86">
        <v>52.67</v>
      </c>
      <c r="I120" s="83">
        <f>I121+I122+I124+I125+I130+I135+I137+I136</f>
        <v>35177.39</v>
      </c>
      <c r="J120" s="984">
        <v>81.39</v>
      </c>
      <c r="K120" s="982">
        <f>SUM(K121,K122,K124,K125,K130,K135,K136,K137)</f>
        <v>44362</v>
      </c>
      <c r="L120" s="982">
        <f>SUM(L121,L122,L124,L125,L130,L135,L136,L137)</f>
        <v>51262</v>
      </c>
      <c r="M120" s="982">
        <f>SUM(M121,M122,M124,M125,M130,M135,M136,M137)</f>
        <v>46366</v>
      </c>
      <c r="N120" s="83">
        <f>N121+N122+N123+N124+N125+N130+N135+N136+N137</f>
        <v>13184.11</v>
      </c>
      <c r="O120" s="1025">
        <f>O129</f>
        <v>753</v>
      </c>
      <c r="P120" s="982">
        <f>SUM(P121,P122,P123,P124,P125,P130,P135,P136,P137)</f>
        <v>47119</v>
      </c>
      <c r="Q120" s="983">
        <f>Q121+Q122+Q123+Q124+Q125+Q130+Q135+Q136+Q137</f>
        <v>26275.55</v>
      </c>
      <c r="R120" s="983">
        <f>R121+R122+R123+R124+R125+R130+R134+R135+R136+R137</f>
        <v>47119</v>
      </c>
      <c r="S120" s="983">
        <f>S121+S122+S123+S124+S125+S130+S134+S135+S136+S137</f>
        <v>39287.590000000004</v>
      </c>
      <c r="T120" s="983">
        <f>T121+T122+T123+T124+T125+T130+T134+T135+T136</f>
        <v>51779</v>
      </c>
      <c r="U120" s="1026">
        <f>U121+U122+U124+U130+U135</f>
        <v>4660</v>
      </c>
      <c r="V120" s="983">
        <f>V121+V122+V123+V124+V125+V130+V134+V135+V136+V137</f>
        <v>52373.729999999996</v>
      </c>
      <c r="W120" s="843">
        <f>V120/T120*100</f>
        <v>101.1485930589621</v>
      </c>
    </row>
    <row r="121" spans="1:23" s="5" customFormat="1" ht="12.75">
      <c r="A121" s="45">
        <v>610</v>
      </c>
      <c r="B121" s="46"/>
      <c r="C121" s="993" t="s">
        <v>439</v>
      </c>
      <c r="D121" s="38">
        <v>28400</v>
      </c>
      <c r="E121" s="63">
        <v>6995</v>
      </c>
      <c r="F121" s="38"/>
      <c r="G121" s="63">
        <v>14323</v>
      </c>
      <c r="H121" s="92"/>
      <c r="I121" s="63">
        <v>22268</v>
      </c>
      <c r="J121" s="61"/>
      <c r="K121" s="62">
        <v>28400</v>
      </c>
      <c r="L121" s="131">
        <v>30620</v>
      </c>
      <c r="M121" s="131">
        <v>30000</v>
      </c>
      <c r="N121" s="63">
        <v>7971.27</v>
      </c>
      <c r="O121" s="131"/>
      <c r="P121" s="62">
        <v>30000</v>
      </c>
      <c r="Q121" s="186">
        <v>15941.05</v>
      </c>
      <c r="R121" s="186">
        <v>30000</v>
      </c>
      <c r="S121" s="186">
        <v>23497.84</v>
      </c>
      <c r="T121" s="186">
        <v>31500</v>
      </c>
      <c r="U121" s="987">
        <v>1500</v>
      </c>
      <c r="V121" s="186">
        <v>31390.45</v>
      </c>
      <c r="W121" s="44"/>
    </row>
    <row r="122" spans="1:23" ht="12.75">
      <c r="A122" s="45">
        <v>620</v>
      </c>
      <c r="B122" s="46"/>
      <c r="C122" s="35" t="s">
        <v>166</v>
      </c>
      <c r="D122" s="38">
        <v>10000</v>
      </c>
      <c r="E122" s="63">
        <v>2615</v>
      </c>
      <c r="F122" s="38"/>
      <c r="G122" s="63">
        <v>4590</v>
      </c>
      <c r="H122" s="92"/>
      <c r="I122" s="63">
        <v>7466</v>
      </c>
      <c r="J122" s="61"/>
      <c r="K122" s="62">
        <v>10000</v>
      </c>
      <c r="L122" s="131">
        <v>11367</v>
      </c>
      <c r="M122" s="131">
        <v>10000</v>
      </c>
      <c r="N122" s="63">
        <v>2956.74</v>
      </c>
      <c r="O122" s="131"/>
      <c r="P122" s="62">
        <v>10000</v>
      </c>
      <c r="Q122" s="186">
        <v>5880.07</v>
      </c>
      <c r="R122" s="186">
        <v>10000</v>
      </c>
      <c r="S122" s="186">
        <v>8639.77</v>
      </c>
      <c r="T122" s="186">
        <v>11500</v>
      </c>
      <c r="U122" s="987">
        <v>1500</v>
      </c>
      <c r="V122" s="186">
        <v>11688.47</v>
      </c>
      <c r="W122" s="61"/>
    </row>
    <row r="123" spans="1:23" ht="12.75">
      <c r="A123" s="45">
        <v>631</v>
      </c>
      <c r="B123" s="46"/>
      <c r="C123" s="35" t="s">
        <v>519</v>
      </c>
      <c r="D123" s="38"/>
      <c r="E123" s="63"/>
      <c r="F123" s="38"/>
      <c r="G123" s="63"/>
      <c r="H123" s="92"/>
      <c r="I123" s="63"/>
      <c r="J123" s="61"/>
      <c r="K123" s="62"/>
      <c r="L123" s="131"/>
      <c r="M123" s="131"/>
      <c r="N123" s="63">
        <v>51.45</v>
      </c>
      <c r="O123" s="131"/>
      <c r="P123" s="62"/>
      <c r="Q123" s="186">
        <v>51.45</v>
      </c>
      <c r="R123" s="186">
        <v>60</v>
      </c>
      <c r="S123" s="186">
        <v>51.45</v>
      </c>
      <c r="T123" s="186">
        <v>60</v>
      </c>
      <c r="U123" s="919"/>
      <c r="V123" s="186">
        <v>51.45</v>
      </c>
      <c r="W123" s="61"/>
    </row>
    <row r="124" spans="1:23" ht="12.75">
      <c r="A124" s="45">
        <v>632</v>
      </c>
      <c r="B124" s="46"/>
      <c r="C124" s="35" t="s">
        <v>170</v>
      </c>
      <c r="D124" s="38">
        <v>1000</v>
      </c>
      <c r="E124" s="63">
        <v>238</v>
      </c>
      <c r="F124" s="38"/>
      <c r="G124" s="63">
        <v>464</v>
      </c>
      <c r="H124" s="92"/>
      <c r="I124" s="63">
        <v>925</v>
      </c>
      <c r="J124" s="61"/>
      <c r="K124" s="62">
        <v>1000</v>
      </c>
      <c r="L124" s="131">
        <v>1422</v>
      </c>
      <c r="M124" s="131">
        <v>1400</v>
      </c>
      <c r="N124" s="63">
        <v>386.98</v>
      </c>
      <c r="O124" s="131"/>
      <c r="P124" s="62">
        <v>1400</v>
      </c>
      <c r="Q124" s="186">
        <v>964.42</v>
      </c>
      <c r="R124" s="186">
        <v>1400</v>
      </c>
      <c r="S124" s="186">
        <v>1329.96</v>
      </c>
      <c r="T124" s="186">
        <v>1650</v>
      </c>
      <c r="U124" s="987">
        <v>250</v>
      </c>
      <c r="V124" s="186">
        <v>2438.81</v>
      </c>
      <c r="W124" s="61"/>
    </row>
    <row r="125" spans="1:23" ht="12.75">
      <c r="A125" s="45">
        <v>633</v>
      </c>
      <c r="B125" s="46"/>
      <c r="C125" s="35" t="s">
        <v>172</v>
      </c>
      <c r="D125" s="38">
        <v>1000</v>
      </c>
      <c r="E125" s="63">
        <v>276</v>
      </c>
      <c r="F125" s="38"/>
      <c r="G125" s="63">
        <v>520</v>
      </c>
      <c r="H125" s="92"/>
      <c r="I125" s="63">
        <f aca="true" t="shared" si="0" ref="I125:N125">I127+I128+I129</f>
        <v>623</v>
      </c>
      <c r="J125" s="63">
        <f t="shared" si="0"/>
        <v>0</v>
      </c>
      <c r="K125" s="63">
        <f t="shared" si="0"/>
        <v>760</v>
      </c>
      <c r="L125" s="63">
        <f t="shared" si="0"/>
        <v>1523</v>
      </c>
      <c r="M125" s="63">
        <f t="shared" si="0"/>
        <v>800</v>
      </c>
      <c r="N125" s="63">
        <f t="shared" si="0"/>
        <v>106.03999999999999</v>
      </c>
      <c r="O125" s="63"/>
      <c r="P125" s="63">
        <f>SUM(P127,P128,P129)</f>
        <v>1553</v>
      </c>
      <c r="Q125" s="66">
        <f>Q127+Q128+Q129</f>
        <v>296.33</v>
      </c>
      <c r="R125" s="66">
        <f>R126+R127+R128+R129</f>
        <v>1403</v>
      </c>
      <c r="S125" s="66">
        <f>S126+S127+S128+S129</f>
        <v>1306.1799999999998</v>
      </c>
      <c r="T125" s="66">
        <f>T127+T128+T129+T126</f>
        <v>1403</v>
      </c>
      <c r="U125" s="929"/>
      <c r="V125" s="66">
        <f>V126+V127+V128+V129</f>
        <v>1414.97</v>
      </c>
      <c r="W125" s="61"/>
    </row>
    <row r="126" spans="1:23" ht="12.75">
      <c r="A126" s="45">
        <v>633</v>
      </c>
      <c r="B126" s="46" t="s">
        <v>34</v>
      </c>
      <c r="C126" s="35" t="s">
        <v>520</v>
      </c>
      <c r="D126" s="38"/>
      <c r="E126" s="63"/>
      <c r="F126" s="38"/>
      <c r="G126" s="63"/>
      <c r="H126" s="92"/>
      <c r="I126" s="63"/>
      <c r="J126" s="63"/>
      <c r="K126" s="63"/>
      <c r="L126" s="63"/>
      <c r="M126" s="63"/>
      <c r="N126" s="63"/>
      <c r="O126" s="63"/>
      <c r="P126" s="63"/>
      <c r="Q126" s="66"/>
      <c r="R126" s="976">
        <v>0</v>
      </c>
      <c r="S126" s="976">
        <v>92</v>
      </c>
      <c r="T126" s="976">
        <v>92</v>
      </c>
      <c r="U126" s="144"/>
      <c r="V126" s="976">
        <v>92</v>
      </c>
      <c r="W126" s="61"/>
    </row>
    <row r="127" spans="1:23" ht="12.75">
      <c r="A127" s="45">
        <v>633</v>
      </c>
      <c r="B127" s="46" t="s">
        <v>73</v>
      </c>
      <c r="C127" s="35" t="s">
        <v>330</v>
      </c>
      <c r="D127" s="973">
        <v>1000</v>
      </c>
      <c r="E127" s="276">
        <v>90</v>
      </c>
      <c r="F127" s="973"/>
      <c r="G127" s="276">
        <v>286</v>
      </c>
      <c r="H127" s="92"/>
      <c r="I127" s="276">
        <v>389</v>
      </c>
      <c r="J127" s="61"/>
      <c r="K127" s="253">
        <v>500</v>
      </c>
      <c r="L127" s="253">
        <v>1132</v>
      </c>
      <c r="M127" s="253">
        <v>600</v>
      </c>
      <c r="N127" s="69">
        <v>57.74</v>
      </c>
      <c r="O127" s="131"/>
      <c r="P127" s="276">
        <v>600</v>
      </c>
      <c r="Q127" s="976">
        <v>248.03</v>
      </c>
      <c r="R127" s="976">
        <v>600</v>
      </c>
      <c r="S127" s="976">
        <v>413.01</v>
      </c>
      <c r="T127" s="976">
        <v>508</v>
      </c>
      <c r="U127" s="870"/>
      <c r="V127" s="976">
        <v>516.71</v>
      </c>
      <c r="W127" s="61"/>
    </row>
    <row r="128" spans="1:23" ht="12.75">
      <c r="A128" s="45">
        <v>633</v>
      </c>
      <c r="B128" s="46" t="s">
        <v>452</v>
      </c>
      <c r="C128" s="35" t="s">
        <v>521</v>
      </c>
      <c r="D128" s="973"/>
      <c r="E128" s="276">
        <v>76</v>
      </c>
      <c r="F128" s="973"/>
      <c r="G128" s="276">
        <v>124</v>
      </c>
      <c r="H128" s="92"/>
      <c r="I128" s="276">
        <v>124</v>
      </c>
      <c r="J128" s="61"/>
      <c r="K128" s="253">
        <v>150</v>
      </c>
      <c r="L128" s="253">
        <v>221</v>
      </c>
      <c r="M128" s="253">
        <v>200</v>
      </c>
      <c r="N128" s="69">
        <v>48.3</v>
      </c>
      <c r="O128" s="131"/>
      <c r="P128" s="276">
        <v>200</v>
      </c>
      <c r="Q128" s="976">
        <v>48.3</v>
      </c>
      <c r="R128" s="976">
        <v>50</v>
      </c>
      <c r="S128" s="976">
        <v>48.3</v>
      </c>
      <c r="T128" s="976">
        <v>50</v>
      </c>
      <c r="U128" s="1027"/>
      <c r="V128" s="976">
        <v>53.39</v>
      </c>
      <c r="W128" s="61"/>
    </row>
    <row r="129" spans="1:23" ht="12.75">
      <c r="A129" s="45">
        <v>633</v>
      </c>
      <c r="B129" s="46" t="s">
        <v>454</v>
      </c>
      <c r="C129" s="35" t="s">
        <v>522</v>
      </c>
      <c r="D129" s="973">
        <v>0</v>
      </c>
      <c r="E129" s="276">
        <v>110</v>
      </c>
      <c r="F129" s="973"/>
      <c r="G129" s="276">
        <v>110</v>
      </c>
      <c r="H129" s="92"/>
      <c r="I129" s="276">
        <v>110</v>
      </c>
      <c r="J129" s="61"/>
      <c r="K129" s="253">
        <v>110</v>
      </c>
      <c r="L129" s="253">
        <v>170</v>
      </c>
      <c r="M129" s="131">
        <v>0</v>
      </c>
      <c r="N129" s="276">
        <v>0</v>
      </c>
      <c r="O129" s="949">
        <v>753</v>
      </c>
      <c r="P129" s="276">
        <v>753</v>
      </c>
      <c r="Q129" s="976">
        <v>0</v>
      </c>
      <c r="R129" s="976">
        <v>753</v>
      </c>
      <c r="S129" s="976">
        <v>752.87</v>
      </c>
      <c r="T129" s="976">
        <v>753</v>
      </c>
      <c r="U129" s="870"/>
      <c r="V129" s="976">
        <v>752.87</v>
      </c>
      <c r="W129" s="61"/>
    </row>
    <row r="130" spans="1:23" ht="12.75">
      <c r="A130" s="45">
        <v>634</v>
      </c>
      <c r="B130" s="46"/>
      <c r="C130" s="35" t="s">
        <v>174</v>
      </c>
      <c r="D130" s="38">
        <f>D131+D132+D133</f>
        <v>2750</v>
      </c>
      <c r="E130" s="63">
        <v>1171</v>
      </c>
      <c r="F130" s="38"/>
      <c r="G130" s="63">
        <v>2269</v>
      </c>
      <c r="H130" s="92"/>
      <c r="I130" s="63">
        <f>I131+I132+I133</f>
        <v>3298</v>
      </c>
      <c r="J130" s="61"/>
      <c r="K130" s="131">
        <f>SUM(K131,K132,K133)</f>
        <v>3600</v>
      </c>
      <c r="L130" s="131">
        <f>SUM(L131,L132,L133)</f>
        <v>5733</v>
      </c>
      <c r="M130" s="131">
        <f>SUM(M131,M132,M133)</f>
        <v>4100</v>
      </c>
      <c r="N130" s="63">
        <f>N131+N132+N133</f>
        <v>1455.6299999999999</v>
      </c>
      <c r="O130" s="131"/>
      <c r="P130" s="62">
        <f>SUM(P131,P132,P133)</f>
        <v>4100</v>
      </c>
      <c r="Q130" s="186">
        <f>Q131+Q132+Q133</f>
        <v>2860.23</v>
      </c>
      <c r="R130" s="186">
        <f>R131+R132+R133</f>
        <v>4100</v>
      </c>
      <c r="S130" s="186">
        <f>S131+S132+S133</f>
        <v>4000.9700000000003</v>
      </c>
      <c r="T130" s="186">
        <v>5200</v>
      </c>
      <c r="U130" s="987">
        <v>1100</v>
      </c>
      <c r="V130" s="186">
        <f>V131+V132+V133</f>
        <v>4928.160000000001</v>
      </c>
      <c r="W130" s="94"/>
    </row>
    <row r="131" spans="1:23" ht="12.75">
      <c r="A131" s="45">
        <v>634</v>
      </c>
      <c r="B131" s="46" t="s">
        <v>31</v>
      </c>
      <c r="C131" s="35" t="s">
        <v>523</v>
      </c>
      <c r="D131" s="973">
        <v>1800</v>
      </c>
      <c r="E131" s="276">
        <v>949</v>
      </c>
      <c r="F131" s="973"/>
      <c r="G131" s="276">
        <v>1823</v>
      </c>
      <c r="H131" s="92"/>
      <c r="I131" s="276">
        <v>2826</v>
      </c>
      <c r="J131" s="61"/>
      <c r="K131" s="276">
        <v>3000</v>
      </c>
      <c r="L131" s="253">
        <v>4088</v>
      </c>
      <c r="M131" s="253">
        <v>3000</v>
      </c>
      <c r="N131" s="69">
        <v>1280.24</v>
      </c>
      <c r="O131" s="131"/>
      <c r="P131" s="276">
        <v>3000</v>
      </c>
      <c r="Q131" s="976">
        <v>2458.52</v>
      </c>
      <c r="R131" s="976">
        <v>3000</v>
      </c>
      <c r="S131" s="976">
        <v>3182.26</v>
      </c>
      <c r="T131" s="976">
        <v>4100</v>
      </c>
      <c r="U131" s="919"/>
      <c r="V131" s="976">
        <v>4005.59</v>
      </c>
      <c r="W131" s="61"/>
    </row>
    <row r="132" spans="1:23" ht="12.75">
      <c r="A132" s="45">
        <v>634</v>
      </c>
      <c r="B132" s="46" t="s">
        <v>34</v>
      </c>
      <c r="C132" s="35" t="s">
        <v>524</v>
      </c>
      <c r="D132" s="973">
        <v>500</v>
      </c>
      <c r="E132" s="276">
        <v>22</v>
      </c>
      <c r="F132" s="973"/>
      <c r="G132" s="276">
        <v>246</v>
      </c>
      <c r="H132" s="92"/>
      <c r="I132" s="276">
        <v>272</v>
      </c>
      <c r="J132" s="61"/>
      <c r="K132" s="253">
        <v>400</v>
      </c>
      <c r="L132" s="253">
        <v>1344</v>
      </c>
      <c r="M132" s="253">
        <v>800</v>
      </c>
      <c r="N132" s="69">
        <v>0.32</v>
      </c>
      <c r="O132" s="131"/>
      <c r="P132" s="276">
        <v>800</v>
      </c>
      <c r="Q132" s="976">
        <v>226.64</v>
      </c>
      <c r="R132" s="976">
        <v>800</v>
      </c>
      <c r="S132" s="976">
        <v>643.64</v>
      </c>
      <c r="T132" s="976">
        <v>800</v>
      </c>
      <c r="U132" s="870"/>
      <c r="V132" s="976">
        <v>646.64</v>
      </c>
      <c r="W132" s="61"/>
    </row>
    <row r="133" spans="1:23" ht="12.75">
      <c r="A133" s="45">
        <v>634</v>
      </c>
      <c r="B133" s="46" t="s">
        <v>28</v>
      </c>
      <c r="C133" s="35" t="s">
        <v>525</v>
      </c>
      <c r="D133" s="973">
        <v>450</v>
      </c>
      <c r="E133" s="276">
        <v>200</v>
      </c>
      <c r="F133" s="973"/>
      <c r="G133" s="276">
        <v>200</v>
      </c>
      <c r="H133" s="92"/>
      <c r="I133" s="276">
        <v>200</v>
      </c>
      <c r="J133" s="61"/>
      <c r="K133" s="253">
        <v>200</v>
      </c>
      <c r="L133" s="253">
        <v>301</v>
      </c>
      <c r="M133" s="253">
        <v>300</v>
      </c>
      <c r="N133" s="69">
        <v>175.07</v>
      </c>
      <c r="O133" s="131"/>
      <c r="P133" s="276">
        <v>300</v>
      </c>
      <c r="Q133" s="976">
        <v>175.07</v>
      </c>
      <c r="R133" s="976">
        <v>300</v>
      </c>
      <c r="S133" s="976">
        <v>175.07</v>
      </c>
      <c r="T133" s="976">
        <v>300</v>
      </c>
      <c r="U133" s="870"/>
      <c r="V133" s="976">
        <v>275.93</v>
      </c>
      <c r="W133" s="61"/>
    </row>
    <row r="134" spans="1:23" ht="12.75">
      <c r="A134" s="45">
        <v>635</v>
      </c>
      <c r="B134" s="46"/>
      <c r="C134" s="35" t="s">
        <v>526</v>
      </c>
      <c r="D134" s="973"/>
      <c r="E134" s="276"/>
      <c r="F134" s="973"/>
      <c r="G134" s="276"/>
      <c r="H134" s="92"/>
      <c r="I134" s="276"/>
      <c r="J134" s="61"/>
      <c r="K134" s="253"/>
      <c r="L134" s="253"/>
      <c r="M134" s="253"/>
      <c r="N134" s="69"/>
      <c r="O134" s="131"/>
      <c r="P134" s="276"/>
      <c r="Q134" s="976"/>
      <c r="R134" s="66">
        <v>36</v>
      </c>
      <c r="S134" s="66">
        <v>36</v>
      </c>
      <c r="T134" s="186">
        <v>36</v>
      </c>
      <c r="U134" s="919"/>
      <c r="V134" s="66">
        <v>36</v>
      </c>
      <c r="W134" s="61"/>
    </row>
    <row r="135" spans="1:23" ht="12.75">
      <c r="A135" s="45">
        <v>637</v>
      </c>
      <c r="B135" s="46"/>
      <c r="C135" s="35" t="s">
        <v>527</v>
      </c>
      <c r="D135" s="38">
        <v>0</v>
      </c>
      <c r="E135" s="63">
        <v>61</v>
      </c>
      <c r="F135" s="38"/>
      <c r="G135" s="63">
        <v>409</v>
      </c>
      <c r="H135" s="92"/>
      <c r="I135" s="63">
        <v>409</v>
      </c>
      <c r="J135" s="61"/>
      <c r="K135" s="131">
        <v>410</v>
      </c>
      <c r="L135" s="131">
        <v>409</v>
      </c>
      <c r="M135" s="131">
        <v>0</v>
      </c>
      <c r="N135" s="63">
        <v>190</v>
      </c>
      <c r="O135" s="131"/>
      <c r="P135" s="62">
        <v>0</v>
      </c>
      <c r="Q135" s="186">
        <v>216</v>
      </c>
      <c r="R135" s="186">
        <v>54</v>
      </c>
      <c r="S135" s="186">
        <v>359.42</v>
      </c>
      <c r="T135" s="186">
        <v>364</v>
      </c>
      <c r="U135" s="987">
        <v>310</v>
      </c>
      <c r="V135" s="186">
        <v>359.42</v>
      </c>
      <c r="W135" s="61"/>
    </row>
    <row r="136" spans="1:23" ht="12.75">
      <c r="A136" s="45">
        <v>642</v>
      </c>
      <c r="B136" s="46"/>
      <c r="C136" s="35" t="s">
        <v>528</v>
      </c>
      <c r="D136" s="38">
        <v>70</v>
      </c>
      <c r="E136" s="63">
        <v>66</v>
      </c>
      <c r="F136" s="38"/>
      <c r="G136" s="63">
        <v>66</v>
      </c>
      <c r="H136" s="92"/>
      <c r="I136" s="63">
        <v>66.39</v>
      </c>
      <c r="J136" s="61"/>
      <c r="K136" s="131">
        <v>70</v>
      </c>
      <c r="L136" s="131">
        <v>66</v>
      </c>
      <c r="M136" s="131">
        <v>66</v>
      </c>
      <c r="N136" s="63">
        <v>66</v>
      </c>
      <c r="O136" s="131"/>
      <c r="P136" s="62">
        <v>66</v>
      </c>
      <c r="Q136" s="186">
        <v>66</v>
      </c>
      <c r="R136" s="186">
        <v>66</v>
      </c>
      <c r="S136" s="186">
        <v>66</v>
      </c>
      <c r="T136" s="186">
        <v>66</v>
      </c>
      <c r="U136" s="870"/>
      <c r="V136" s="186">
        <v>66</v>
      </c>
      <c r="W136" s="61"/>
    </row>
    <row r="137" spans="1:23" ht="12.75">
      <c r="A137" s="45">
        <v>637</v>
      </c>
      <c r="B137" s="46" t="s">
        <v>496</v>
      </c>
      <c r="C137" s="35" t="s">
        <v>529</v>
      </c>
      <c r="D137" s="38"/>
      <c r="E137" s="63">
        <v>122</v>
      </c>
      <c r="F137" s="38"/>
      <c r="G137" s="63">
        <v>122</v>
      </c>
      <c r="H137" s="92"/>
      <c r="I137" s="63">
        <v>122</v>
      </c>
      <c r="J137" s="61"/>
      <c r="K137" s="131">
        <v>122</v>
      </c>
      <c r="L137" s="131">
        <v>122</v>
      </c>
      <c r="M137" s="131">
        <v>0</v>
      </c>
      <c r="N137" s="63">
        <v>0</v>
      </c>
      <c r="O137" s="131"/>
      <c r="P137" s="62">
        <v>0</v>
      </c>
      <c r="Q137" s="186">
        <v>0</v>
      </c>
      <c r="R137" s="186">
        <v>0</v>
      </c>
      <c r="S137" s="186">
        <v>0</v>
      </c>
      <c r="T137" s="186">
        <v>0</v>
      </c>
      <c r="U137" s="1028"/>
      <c r="V137" s="186">
        <v>0</v>
      </c>
      <c r="W137" s="61"/>
    </row>
    <row r="138" spans="1:14" ht="12.75">
      <c r="A138" s="5"/>
      <c r="B138" s="5"/>
      <c r="C138" s="5"/>
      <c r="D138" s="182"/>
      <c r="E138" s="182"/>
      <c r="F138" s="182"/>
      <c r="G138" s="182"/>
      <c r="H138" s="1029"/>
      <c r="I138" s="5"/>
      <c r="J138" s="5"/>
      <c r="N138" s="182"/>
    </row>
    <row r="139" spans="1:23" s="4" customFormat="1" ht="12.75">
      <c r="A139" s="834" t="s">
        <v>530</v>
      </c>
      <c r="B139" s="981"/>
      <c r="C139" s="981"/>
      <c r="D139" s="982">
        <f>D140+D141+D149+D153+D155</f>
        <v>5650</v>
      </c>
      <c r="E139" s="982">
        <v>6518</v>
      </c>
      <c r="F139" s="983">
        <v>115.36</v>
      </c>
      <c r="G139" s="982">
        <v>9046</v>
      </c>
      <c r="H139" s="86">
        <v>160.11</v>
      </c>
      <c r="I139" s="982">
        <f>I140+I141+I149+I153+I155+I154</f>
        <v>10955</v>
      </c>
      <c r="J139" s="984">
        <v>193.89</v>
      </c>
      <c r="K139" s="982">
        <f>SUM(K140,K141,K149,K153,K154,K155)</f>
        <v>11460</v>
      </c>
      <c r="L139" s="982">
        <f>SUM(L140,L141,L149,L153,L154,L155)</f>
        <v>15641</v>
      </c>
      <c r="M139" s="982">
        <f>SUM(M140,M141,M149,M153,M154,M155)</f>
        <v>2750</v>
      </c>
      <c r="N139" s="982">
        <f>N140+N141+N149+N153+N155</f>
        <v>1188.46</v>
      </c>
      <c r="O139" s="1025">
        <f>O143+O155</f>
        <v>3400</v>
      </c>
      <c r="P139" s="982">
        <f>SUM(P140,P141,P149,P153,P154,P155)</f>
        <v>6150</v>
      </c>
      <c r="Q139" s="983">
        <f>Q140+Q141+Q149+Q153+Q154+Q155</f>
        <v>2069.48</v>
      </c>
      <c r="R139" s="983">
        <f>R140+R141+R149+R153+R155</f>
        <v>6150</v>
      </c>
      <c r="S139" s="1030">
        <f>S140+S141+S149+S153+S154+S155</f>
        <v>2514.2200000000003</v>
      </c>
      <c r="T139" s="983">
        <f>SUM(T140,T141,T149,T153,T154,T155)</f>
        <v>6600</v>
      </c>
      <c r="U139" s="1031">
        <f>U149</f>
        <v>450</v>
      </c>
      <c r="V139" s="1030">
        <f>V140+V141+V149+V153+V154+V155</f>
        <v>5495.1900000000005</v>
      </c>
      <c r="W139" s="843">
        <f>V139/T139*100</f>
        <v>83.26045454545455</v>
      </c>
    </row>
    <row r="140" spans="1:23" s="5" customFormat="1" ht="12.75">
      <c r="A140" s="34">
        <v>632</v>
      </c>
      <c r="B140" s="46"/>
      <c r="C140" s="35" t="s">
        <v>170</v>
      </c>
      <c r="D140" s="38">
        <v>2000</v>
      </c>
      <c r="E140" s="63">
        <v>580</v>
      </c>
      <c r="F140" s="38"/>
      <c r="G140" s="63">
        <v>1172</v>
      </c>
      <c r="H140" s="92"/>
      <c r="I140" s="63">
        <v>1639</v>
      </c>
      <c r="J140" s="61"/>
      <c r="K140" s="62">
        <v>2000</v>
      </c>
      <c r="L140" s="131">
        <v>2582</v>
      </c>
      <c r="M140" s="131">
        <v>2300</v>
      </c>
      <c r="N140" s="63">
        <v>121.46</v>
      </c>
      <c r="O140" s="131"/>
      <c r="P140" s="62">
        <v>2300</v>
      </c>
      <c r="Q140" s="186">
        <v>579.94</v>
      </c>
      <c r="R140" s="186">
        <v>2300</v>
      </c>
      <c r="S140" s="186">
        <v>1024.68</v>
      </c>
      <c r="T140" s="186">
        <v>2300</v>
      </c>
      <c r="U140" s="1032"/>
      <c r="V140" s="186">
        <v>1449.99</v>
      </c>
      <c r="W140" s="44"/>
    </row>
    <row r="141" spans="1:23" ht="12.75">
      <c r="A141" s="34">
        <v>633</v>
      </c>
      <c r="B141" s="46"/>
      <c r="C141" s="35" t="s">
        <v>172</v>
      </c>
      <c r="D141" s="38">
        <f>D142+D145</f>
        <v>3100</v>
      </c>
      <c r="E141" s="63">
        <v>3437</v>
      </c>
      <c r="F141" s="38"/>
      <c r="G141" s="63">
        <v>3437</v>
      </c>
      <c r="H141" s="92"/>
      <c r="I141" s="63">
        <f>I142+I145+I143+I144</f>
        <v>6360</v>
      </c>
      <c r="J141" s="61"/>
      <c r="K141" s="62">
        <f>SUM(K142,K143,K144,K145)</f>
        <v>6400</v>
      </c>
      <c r="L141" s="62">
        <f>L142+L144+L145+L146+L143</f>
        <v>10019</v>
      </c>
      <c r="M141" s="62">
        <f>SUM(M142,M143,M144,M145)</f>
        <v>100</v>
      </c>
      <c r="N141" s="63">
        <f>N142+N143+N144+N145+N146</f>
        <v>0</v>
      </c>
      <c r="O141" s="62"/>
      <c r="P141" s="62">
        <f>SUM(P142,P143,P144,P145)</f>
        <v>2600</v>
      </c>
      <c r="Q141" s="186">
        <v>0</v>
      </c>
      <c r="R141" s="186">
        <v>2600</v>
      </c>
      <c r="S141" s="186">
        <v>0</v>
      </c>
      <c r="T141" s="186">
        <v>2600</v>
      </c>
      <c r="U141" s="186"/>
      <c r="V141" s="186">
        <f>V142+V143+V144+V145+V146</f>
        <v>2170.81</v>
      </c>
      <c r="W141" s="61"/>
    </row>
    <row r="142" spans="1:23" ht="12.75">
      <c r="A142" s="34">
        <v>633</v>
      </c>
      <c r="B142" s="46" t="s">
        <v>31</v>
      </c>
      <c r="C142" s="35" t="s">
        <v>531</v>
      </c>
      <c r="D142" s="973">
        <v>2600</v>
      </c>
      <c r="E142" s="276">
        <v>571</v>
      </c>
      <c r="F142" s="973"/>
      <c r="G142" s="276">
        <v>571</v>
      </c>
      <c r="H142" s="92"/>
      <c r="I142" s="276">
        <v>571</v>
      </c>
      <c r="J142" s="61"/>
      <c r="K142" s="131">
        <v>600</v>
      </c>
      <c r="L142" s="253">
        <v>571</v>
      </c>
      <c r="M142" s="253">
        <v>0</v>
      </c>
      <c r="N142" s="276"/>
      <c r="O142" s="131"/>
      <c r="P142" s="276">
        <v>0</v>
      </c>
      <c r="Q142" s="976">
        <v>0</v>
      </c>
      <c r="R142" s="976">
        <v>0</v>
      </c>
      <c r="S142" s="976">
        <v>0</v>
      </c>
      <c r="T142" s="976">
        <v>0</v>
      </c>
      <c r="U142" s="1032"/>
      <c r="V142" s="976">
        <v>0</v>
      </c>
      <c r="W142" s="61"/>
    </row>
    <row r="143" spans="1:23" ht="12.75">
      <c r="A143" s="896">
        <v>633</v>
      </c>
      <c r="B143" s="920" t="s">
        <v>55</v>
      </c>
      <c r="C143" s="897" t="s">
        <v>532</v>
      </c>
      <c r="D143" s="1033"/>
      <c r="E143" s="996">
        <v>2600</v>
      </c>
      <c r="F143" s="1033"/>
      <c r="G143" s="996">
        <v>2600</v>
      </c>
      <c r="H143" s="92"/>
      <c r="I143" s="996">
        <v>2600</v>
      </c>
      <c r="J143" s="61"/>
      <c r="K143" s="1034">
        <v>2600</v>
      </c>
      <c r="L143" s="924">
        <v>2600</v>
      </c>
      <c r="M143" s="253">
        <v>0</v>
      </c>
      <c r="N143" s="958"/>
      <c r="O143" s="305">
        <v>2500</v>
      </c>
      <c r="P143" s="996">
        <v>2500</v>
      </c>
      <c r="Q143" s="959">
        <v>0</v>
      </c>
      <c r="R143" s="959">
        <v>2500</v>
      </c>
      <c r="S143" s="959">
        <v>0</v>
      </c>
      <c r="T143" s="959">
        <v>2100</v>
      </c>
      <c r="U143" s="1032"/>
      <c r="V143" s="959">
        <v>2051.68</v>
      </c>
      <c r="W143" s="61"/>
    </row>
    <row r="144" spans="1:23" ht="12.75">
      <c r="A144" s="34">
        <v>633</v>
      </c>
      <c r="B144" s="46" t="s">
        <v>55</v>
      </c>
      <c r="C144" s="35" t="s">
        <v>532</v>
      </c>
      <c r="D144" s="973"/>
      <c r="E144" s="276">
        <v>266</v>
      </c>
      <c r="F144" s="973"/>
      <c r="G144" s="276">
        <v>266</v>
      </c>
      <c r="H144" s="92"/>
      <c r="I144" s="276">
        <v>3121</v>
      </c>
      <c r="J144" s="61"/>
      <c r="K144" s="62">
        <v>3100</v>
      </c>
      <c r="L144" s="253">
        <v>5659</v>
      </c>
      <c r="M144" s="253">
        <v>0</v>
      </c>
      <c r="N144" s="276"/>
      <c r="O144" s="131"/>
      <c r="P144" s="276">
        <v>0</v>
      </c>
      <c r="Q144" s="976">
        <v>0</v>
      </c>
      <c r="R144" s="976">
        <v>0</v>
      </c>
      <c r="S144" s="976">
        <v>0</v>
      </c>
      <c r="T144" s="976">
        <v>400</v>
      </c>
      <c r="U144" s="1032"/>
      <c r="V144" s="976">
        <v>107.98</v>
      </c>
      <c r="W144" s="61"/>
    </row>
    <row r="145" spans="1:23" ht="12.75">
      <c r="A145" s="141">
        <v>633</v>
      </c>
      <c r="B145" s="145" t="s">
        <v>73</v>
      </c>
      <c r="C145" s="97" t="s">
        <v>330</v>
      </c>
      <c r="D145" s="1037">
        <v>500</v>
      </c>
      <c r="E145" s="281">
        <v>0</v>
      </c>
      <c r="F145" s="1037"/>
      <c r="G145" s="281"/>
      <c r="H145" s="1038"/>
      <c r="I145" s="281">
        <v>68</v>
      </c>
      <c r="J145" s="292"/>
      <c r="K145" s="222">
        <v>100</v>
      </c>
      <c r="L145" s="259">
        <v>153</v>
      </c>
      <c r="M145" s="259">
        <v>100</v>
      </c>
      <c r="N145" s="281"/>
      <c r="O145" s="222"/>
      <c r="P145" s="281">
        <v>100</v>
      </c>
      <c r="Q145" s="1035">
        <v>0</v>
      </c>
      <c r="R145" s="1035">
        <v>100</v>
      </c>
      <c r="S145" s="1035">
        <v>0</v>
      </c>
      <c r="T145" s="1035">
        <v>100</v>
      </c>
      <c r="U145" s="1032"/>
      <c r="V145" s="1035">
        <v>11.15</v>
      </c>
      <c r="W145" s="292"/>
    </row>
    <row r="146" spans="1:23" ht="12.75">
      <c r="A146" s="1559">
        <v>633</v>
      </c>
      <c r="B146" s="1555" t="s">
        <v>459</v>
      </c>
      <c r="C146" s="1560" t="s">
        <v>331</v>
      </c>
      <c r="D146" s="1561"/>
      <c r="E146" s="1562"/>
      <c r="F146" s="1561"/>
      <c r="G146" s="1562"/>
      <c r="H146" s="1563"/>
      <c r="I146" s="1562"/>
      <c r="J146" s="1564"/>
      <c r="K146" s="1565"/>
      <c r="L146" s="1566">
        <v>1036</v>
      </c>
      <c r="M146" s="1565"/>
      <c r="N146" s="1562"/>
      <c r="O146" s="1565"/>
      <c r="P146" s="1567"/>
      <c r="Q146" s="1568">
        <v>0</v>
      </c>
      <c r="R146" s="1568">
        <v>0</v>
      </c>
      <c r="S146" s="1568">
        <v>0</v>
      </c>
      <c r="T146" s="1568">
        <v>0</v>
      </c>
      <c r="U146" s="1569"/>
      <c r="V146" s="1568">
        <v>0</v>
      </c>
      <c r="W146" s="1570"/>
    </row>
    <row r="147" spans="1:23" ht="12.75">
      <c r="A147" s="914"/>
      <c r="B147" s="939"/>
      <c r="C147" s="915"/>
      <c r="D147" s="1557"/>
      <c r="E147" s="1039"/>
      <c r="F147" s="1557"/>
      <c r="G147" s="1039"/>
      <c r="H147" s="1558"/>
      <c r="I147" s="1039"/>
      <c r="J147" s="1044"/>
      <c r="K147" s="243"/>
      <c r="L147" s="1110"/>
      <c r="M147" s="243"/>
      <c r="N147" s="1039"/>
      <c r="O147" s="243"/>
      <c r="P147" s="261"/>
      <c r="Q147" s="1040"/>
      <c r="R147" s="1040"/>
      <c r="S147" s="1040"/>
      <c r="T147" s="1041"/>
      <c r="U147" s="1042"/>
      <c r="V147" s="1043"/>
      <c r="W147" s="1044"/>
    </row>
    <row r="148" spans="1:23" ht="25.5">
      <c r="A148" s="822" t="s">
        <v>414</v>
      </c>
      <c r="B148" s="823"/>
      <c r="C148" s="824"/>
      <c r="D148" s="1010" t="s">
        <v>13</v>
      </c>
      <c r="E148" s="1010" t="s">
        <v>14</v>
      </c>
      <c r="F148" s="827" t="s">
        <v>15</v>
      </c>
      <c r="G148" s="1010" t="s">
        <v>16</v>
      </c>
      <c r="H148" s="827" t="s">
        <v>15</v>
      </c>
      <c r="I148" s="1010" t="s">
        <v>17</v>
      </c>
      <c r="J148" s="827" t="s">
        <v>15</v>
      </c>
      <c r="K148" s="828" t="s">
        <v>20</v>
      </c>
      <c r="L148" s="829" t="s">
        <v>517</v>
      </c>
      <c r="M148" s="830">
        <v>2012</v>
      </c>
      <c r="N148" s="831" t="s">
        <v>435</v>
      </c>
      <c r="O148" s="828" t="s">
        <v>20</v>
      </c>
      <c r="P148" s="828" t="s">
        <v>21</v>
      </c>
      <c r="Q148" s="21" t="s">
        <v>22</v>
      </c>
      <c r="R148" s="21" t="s">
        <v>436</v>
      </c>
      <c r="S148" s="21" t="s">
        <v>23</v>
      </c>
      <c r="T148" s="20" t="s">
        <v>24</v>
      </c>
      <c r="U148" s="19" t="s">
        <v>437</v>
      </c>
      <c r="V148" s="22" t="s">
        <v>26</v>
      </c>
      <c r="W148" s="827" t="s">
        <v>15</v>
      </c>
    </row>
    <row r="149" spans="1:23" ht="12.75">
      <c r="A149" s="1045">
        <v>634</v>
      </c>
      <c r="B149" s="72"/>
      <c r="C149" s="110" t="s">
        <v>174</v>
      </c>
      <c r="D149" s="38">
        <f>D150+D151</f>
        <v>400</v>
      </c>
      <c r="E149" s="63">
        <v>89</v>
      </c>
      <c r="F149" s="38"/>
      <c r="G149" s="63">
        <v>184</v>
      </c>
      <c r="H149" s="92"/>
      <c r="I149" s="63">
        <f>I150+I151</f>
        <v>267</v>
      </c>
      <c r="J149" s="61"/>
      <c r="K149" s="131">
        <f>SUM(K150,K151)</f>
        <v>300</v>
      </c>
      <c r="L149" s="131">
        <f>SUM(L150,L151)</f>
        <v>267</v>
      </c>
      <c r="M149" s="131">
        <f>SUM(M150,M151)</f>
        <v>200</v>
      </c>
      <c r="N149" s="63">
        <f>N150+N151</f>
        <v>153</v>
      </c>
      <c r="O149" s="131"/>
      <c r="P149" s="62">
        <f>SUM(P150,P151)</f>
        <v>200</v>
      </c>
      <c r="Q149" s="186">
        <f>Q150+Q151+Q152</f>
        <v>566.04</v>
      </c>
      <c r="R149" s="186">
        <f>R150+R151+R152</f>
        <v>200</v>
      </c>
      <c r="S149" s="186">
        <f>S150+S151+S152</f>
        <v>566.04</v>
      </c>
      <c r="T149" s="186">
        <f>T150+T151+T152</f>
        <v>650</v>
      </c>
      <c r="U149" s="1046">
        <v>450</v>
      </c>
      <c r="V149" s="186">
        <f>V150+V151+V152</f>
        <v>761.89</v>
      </c>
      <c r="W149" s="61"/>
    </row>
    <row r="150" spans="1:23" ht="12.75">
      <c r="A150" s="45">
        <v>634</v>
      </c>
      <c r="B150" s="46" t="s">
        <v>31</v>
      </c>
      <c r="C150" s="35" t="s">
        <v>523</v>
      </c>
      <c r="D150" s="973">
        <v>100</v>
      </c>
      <c r="E150" s="276">
        <v>89</v>
      </c>
      <c r="F150" s="973"/>
      <c r="G150" s="276">
        <v>89</v>
      </c>
      <c r="H150" s="92"/>
      <c r="I150" s="276">
        <v>172</v>
      </c>
      <c r="J150" s="61"/>
      <c r="K150" s="253">
        <v>200</v>
      </c>
      <c r="L150" s="253">
        <v>172</v>
      </c>
      <c r="M150" s="253">
        <v>100</v>
      </c>
      <c r="N150" s="69"/>
      <c r="O150" s="131"/>
      <c r="P150" s="276">
        <v>100</v>
      </c>
      <c r="Q150" s="976">
        <v>179.04</v>
      </c>
      <c r="R150" s="976">
        <v>100</v>
      </c>
      <c r="S150" s="976">
        <v>179.04</v>
      </c>
      <c r="T150" s="976">
        <v>200</v>
      </c>
      <c r="U150" s="1047">
        <v>100</v>
      </c>
      <c r="V150" s="976">
        <v>179.04</v>
      </c>
      <c r="W150" s="61"/>
    </row>
    <row r="151" spans="1:23" ht="12.75">
      <c r="A151" s="45">
        <v>634</v>
      </c>
      <c r="B151" s="46" t="s">
        <v>55</v>
      </c>
      <c r="C151" s="35" t="s">
        <v>321</v>
      </c>
      <c r="D151" s="973">
        <v>300</v>
      </c>
      <c r="E151" s="276">
        <v>0</v>
      </c>
      <c r="F151" s="973"/>
      <c r="G151" s="276">
        <v>95</v>
      </c>
      <c r="H151" s="92"/>
      <c r="I151" s="276">
        <v>95</v>
      </c>
      <c r="J151" s="61"/>
      <c r="K151" s="253">
        <v>100</v>
      </c>
      <c r="L151" s="253">
        <v>95</v>
      </c>
      <c r="M151" s="253">
        <v>100</v>
      </c>
      <c r="N151" s="69">
        <v>153</v>
      </c>
      <c r="O151" s="131"/>
      <c r="P151" s="276">
        <v>100</v>
      </c>
      <c r="Q151" s="976">
        <v>234</v>
      </c>
      <c r="R151" s="976">
        <v>100</v>
      </c>
      <c r="S151" s="976">
        <v>234</v>
      </c>
      <c r="T151" s="976">
        <v>250</v>
      </c>
      <c r="U151" s="1047">
        <v>150</v>
      </c>
      <c r="V151" s="976">
        <v>234</v>
      </c>
      <c r="W151" s="61"/>
    </row>
    <row r="152" spans="1:23" ht="12.75">
      <c r="A152" s="45">
        <v>634</v>
      </c>
      <c r="B152" s="46" t="s">
        <v>28</v>
      </c>
      <c r="C152" s="35" t="s">
        <v>525</v>
      </c>
      <c r="D152" s="973"/>
      <c r="E152" s="276"/>
      <c r="F152" s="973"/>
      <c r="G152" s="276"/>
      <c r="H152" s="92"/>
      <c r="I152" s="276"/>
      <c r="J152" s="61"/>
      <c r="K152" s="253"/>
      <c r="L152" s="253"/>
      <c r="M152" s="253"/>
      <c r="N152" s="69"/>
      <c r="O152" s="131"/>
      <c r="P152" s="276"/>
      <c r="Q152" s="976">
        <v>153</v>
      </c>
      <c r="R152" s="976">
        <v>0</v>
      </c>
      <c r="S152" s="976">
        <v>153</v>
      </c>
      <c r="T152" s="976">
        <v>200</v>
      </c>
      <c r="U152" s="1048">
        <v>200</v>
      </c>
      <c r="V152" s="976">
        <v>348.85</v>
      </c>
      <c r="W152" s="61"/>
    </row>
    <row r="153" spans="1:23" ht="12.75">
      <c r="A153" s="34">
        <v>635</v>
      </c>
      <c r="B153" s="46"/>
      <c r="C153" s="35" t="s">
        <v>272</v>
      </c>
      <c r="D153" s="38">
        <v>0</v>
      </c>
      <c r="E153" s="63">
        <v>204</v>
      </c>
      <c r="F153" s="38"/>
      <c r="G153" s="63">
        <v>204</v>
      </c>
      <c r="H153" s="92"/>
      <c r="I153" s="63">
        <v>358</v>
      </c>
      <c r="J153" s="61"/>
      <c r="K153" s="131">
        <v>360</v>
      </c>
      <c r="L153" s="131">
        <v>442</v>
      </c>
      <c r="M153" s="131">
        <v>50</v>
      </c>
      <c r="N153" s="63"/>
      <c r="O153" s="131"/>
      <c r="P153" s="62">
        <v>50</v>
      </c>
      <c r="Q153" s="186">
        <v>9.5</v>
      </c>
      <c r="R153" s="186">
        <v>50</v>
      </c>
      <c r="S153" s="186">
        <v>9.5</v>
      </c>
      <c r="T153" s="186">
        <v>50</v>
      </c>
      <c r="U153" s="1032"/>
      <c r="V153" s="186">
        <v>14.5</v>
      </c>
      <c r="W153" s="61"/>
    </row>
    <row r="154" spans="1:23" ht="12.75">
      <c r="A154" s="896">
        <v>637</v>
      </c>
      <c r="B154" s="920" t="s">
        <v>68</v>
      </c>
      <c r="C154" s="897" t="s">
        <v>533</v>
      </c>
      <c r="D154" s="866"/>
      <c r="E154" s="922">
        <v>1712</v>
      </c>
      <c r="F154" s="866"/>
      <c r="G154" s="922">
        <v>1835</v>
      </c>
      <c r="H154" s="92"/>
      <c r="I154" s="922">
        <v>1835</v>
      </c>
      <c r="J154" s="61"/>
      <c r="K154" s="1034">
        <v>1900</v>
      </c>
      <c r="L154" s="924">
        <v>1835</v>
      </c>
      <c r="M154" s="131">
        <v>0</v>
      </c>
      <c r="N154" s="958"/>
      <c r="O154" s="131"/>
      <c r="P154" s="62">
        <v>0</v>
      </c>
      <c r="Q154" s="186">
        <v>0</v>
      </c>
      <c r="R154" s="186">
        <v>0</v>
      </c>
      <c r="S154" s="186">
        <v>0</v>
      </c>
      <c r="T154" s="976">
        <v>0</v>
      </c>
      <c r="U154" s="1032"/>
      <c r="V154" s="186">
        <v>0</v>
      </c>
      <c r="W154" s="61"/>
    </row>
    <row r="155" spans="1:23" ht="12.75">
      <c r="A155" s="34">
        <v>637</v>
      </c>
      <c r="B155" s="46"/>
      <c r="C155" s="35" t="s">
        <v>527</v>
      </c>
      <c r="D155" s="38">
        <v>150</v>
      </c>
      <c r="E155" s="63">
        <v>496</v>
      </c>
      <c r="F155" s="38"/>
      <c r="G155" s="63">
        <v>496</v>
      </c>
      <c r="H155" s="92"/>
      <c r="I155" s="63">
        <v>496</v>
      </c>
      <c r="J155" s="61"/>
      <c r="K155" s="131">
        <v>500</v>
      </c>
      <c r="L155" s="131">
        <v>496</v>
      </c>
      <c r="M155" s="131">
        <v>100</v>
      </c>
      <c r="N155" s="63">
        <v>914</v>
      </c>
      <c r="O155" s="949">
        <v>900</v>
      </c>
      <c r="P155" s="62">
        <v>1000</v>
      </c>
      <c r="Q155" s="186">
        <v>914</v>
      </c>
      <c r="R155" s="186">
        <v>1000</v>
      </c>
      <c r="S155" s="186">
        <v>914</v>
      </c>
      <c r="T155" s="186">
        <v>1000</v>
      </c>
      <c r="U155" s="1032"/>
      <c r="V155" s="186">
        <v>1098</v>
      </c>
      <c r="W155" s="61"/>
    </row>
    <row r="156" spans="1:23" ht="12.75">
      <c r="A156" s="997" t="s">
        <v>534</v>
      </c>
      <c r="B156" s="998"/>
      <c r="C156" s="999" t="s">
        <v>535</v>
      </c>
      <c r="D156" s="1000">
        <f>D120+D139</f>
        <v>48870</v>
      </c>
      <c r="E156" s="1000">
        <f>E120+E139</f>
        <v>18062</v>
      </c>
      <c r="F156" s="1001">
        <v>36.96</v>
      </c>
      <c r="G156" s="1000">
        <f>G120+G139</f>
        <v>31809</v>
      </c>
      <c r="H156" s="1002">
        <v>65.09</v>
      </c>
      <c r="I156" s="1003">
        <f>I120+I139</f>
        <v>46132.39</v>
      </c>
      <c r="J156" s="1049">
        <v>94.4</v>
      </c>
      <c r="K156" s="1050">
        <f>SUM(K120,K139)</f>
        <v>55822</v>
      </c>
      <c r="L156" s="1050">
        <f>SUM(L120,L139)</f>
        <v>66903</v>
      </c>
      <c r="M156" s="1050">
        <f>SUM(M120,M139)</f>
        <v>49116</v>
      </c>
      <c r="N156" s="1003">
        <f>N120+N139</f>
        <v>14372.57</v>
      </c>
      <c r="O156" s="1051">
        <f>SUM(O120,O139)</f>
        <v>4153</v>
      </c>
      <c r="P156" s="1050">
        <f>SUM(P120,P139)</f>
        <v>53269</v>
      </c>
      <c r="Q156" s="1052">
        <f>Q139+Q120</f>
        <v>28345.03</v>
      </c>
      <c r="R156" s="1052">
        <f>R139+R120</f>
        <v>53269</v>
      </c>
      <c r="S156" s="1052">
        <f>S139+S120</f>
        <v>41801.810000000005</v>
      </c>
      <c r="T156" s="1052">
        <f>SUM(T120,T139)</f>
        <v>58379</v>
      </c>
      <c r="U156" s="1053">
        <f>U120+U139</f>
        <v>5110</v>
      </c>
      <c r="V156" s="1052">
        <f>V139+V120</f>
        <v>57868.92</v>
      </c>
      <c r="W156" s="1006">
        <f>V156/T156*100</f>
        <v>99.12626115555251</v>
      </c>
    </row>
    <row r="157" spans="1:22" ht="12.75">
      <c r="A157" s="1054"/>
      <c r="B157" s="1055"/>
      <c r="C157" s="1056"/>
      <c r="D157" s="1057"/>
      <c r="E157" s="1057"/>
      <c r="F157" s="1058"/>
      <c r="G157" s="1057"/>
      <c r="H157" s="1059"/>
      <c r="I157" s="1057"/>
      <c r="J157" s="1060"/>
      <c r="K157" s="1061"/>
      <c r="L157" s="1061"/>
      <c r="M157" s="1061"/>
      <c r="N157" s="1061"/>
      <c r="O157" s="1061"/>
      <c r="P157" s="1061"/>
      <c r="Q157" s="1061"/>
      <c r="R157" s="1061"/>
      <c r="S157" s="1061"/>
      <c r="T157" s="1061"/>
      <c r="U157" s="1061"/>
      <c r="V157" s="1061"/>
    </row>
    <row r="158" spans="1:22" ht="12.75" hidden="1">
      <c r="A158" s="1054"/>
      <c r="B158" s="1055"/>
      <c r="C158" s="1056"/>
      <c r="D158" s="1057"/>
      <c r="E158" s="1057"/>
      <c r="F158" s="1058"/>
      <c r="G158" s="1057"/>
      <c r="H158" s="1059"/>
      <c r="I158" s="1057"/>
      <c r="J158" s="1060"/>
      <c r="K158" s="1061"/>
      <c r="L158" s="1061"/>
      <c r="M158" s="1061"/>
      <c r="N158" s="1061"/>
      <c r="O158" s="1061"/>
      <c r="P158" s="1061"/>
      <c r="Q158" s="1061"/>
      <c r="R158" s="1061"/>
      <c r="S158" s="1061"/>
      <c r="T158" s="1061"/>
      <c r="U158" s="1061"/>
      <c r="V158" s="1061"/>
    </row>
    <row r="159" spans="1:22" ht="12.75" hidden="1">
      <c r="A159" s="1054"/>
      <c r="B159" s="1055"/>
      <c r="C159" s="1056"/>
      <c r="D159" s="1057"/>
      <c r="E159" s="1057"/>
      <c r="F159" s="1058"/>
      <c r="G159" s="1057"/>
      <c r="H159" s="1059"/>
      <c r="I159" s="1057"/>
      <c r="J159" s="1060"/>
      <c r="K159" s="1061"/>
      <c r="L159" s="1061"/>
      <c r="M159" s="1061"/>
      <c r="N159" s="1061"/>
      <c r="O159" s="1061"/>
      <c r="P159" s="1061"/>
      <c r="Q159" s="1061"/>
      <c r="R159" s="1061"/>
      <c r="S159" s="1061"/>
      <c r="T159" s="1061"/>
      <c r="U159" s="1061"/>
      <c r="V159" s="1061"/>
    </row>
    <row r="160" spans="1:22" ht="12.75" hidden="1">
      <c r="A160" s="1054"/>
      <c r="B160" s="1055"/>
      <c r="C160" s="1056"/>
      <c r="D160" s="1057"/>
      <c r="E160" s="1057"/>
      <c r="F160" s="1058"/>
      <c r="G160" s="1057"/>
      <c r="H160" s="1059"/>
      <c r="I160" s="1057"/>
      <c r="J160" s="1060"/>
      <c r="K160" s="1061"/>
      <c r="L160" s="1061"/>
      <c r="M160" s="1061"/>
      <c r="N160" s="1061"/>
      <c r="O160" s="1061"/>
      <c r="P160" s="1061"/>
      <c r="Q160" s="1061"/>
      <c r="R160" s="1061"/>
      <c r="S160" s="1061"/>
      <c r="T160" s="1061"/>
      <c r="U160" s="1061"/>
      <c r="V160" s="1061"/>
    </row>
    <row r="161" spans="1:22" ht="12.75" hidden="1">
      <c r="A161" s="1054"/>
      <c r="B161" s="1055"/>
      <c r="C161" s="1056"/>
      <c r="D161" s="1057"/>
      <c r="E161" s="1057"/>
      <c r="F161" s="1058"/>
      <c r="G161" s="1057"/>
      <c r="H161" s="1059"/>
      <c r="I161" s="1057"/>
      <c r="J161" s="1060"/>
      <c r="K161" s="1061"/>
      <c r="L161" s="1061"/>
      <c r="M161" s="1061"/>
      <c r="N161" s="1061"/>
      <c r="O161" s="1061"/>
      <c r="P161" s="1061"/>
      <c r="Q161" s="1061"/>
      <c r="R161" s="1061"/>
      <c r="S161" s="1061"/>
      <c r="T161" s="1061"/>
      <c r="U161" s="1061"/>
      <c r="V161" s="1061"/>
    </row>
    <row r="162" spans="1:22" ht="12.75" hidden="1">
      <c r="A162" s="1054"/>
      <c r="B162" s="1055"/>
      <c r="C162" s="1056"/>
      <c r="D162" s="1057"/>
      <c r="E162" s="1057"/>
      <c r="F162" s="1058"/>
      <c r="G162" s="1057"/>
      <c r="H162" s="1059"/>
      <c r="I162" s="1057"/>
      <c r="J162" s="1060"/>
      <c r="K162" s="1061"/>
      <c r="L162" s="1061"/>
      <c r="M162" s="1061"/>
      <c r="N162" s="1061"/>
      <c r="O162" s="1061"/>
      <c r="P162" s="1061"/>
      <c r="Q162" s="1061"/>
      <c r="R162" s="1061"/>
      <c r="S162" s="1061"/>
      <c r="T162" s="1061"/>
      <c r="U162" s="1061"/>
      <c r="V162" s="1061"/>
    </row>
    <row r="163" spans="1:22" ht="12.75" customHeight="1" hidden="1">
      <c r="A163" s="1054"/>
      <c r="B163" s="1055"/>
      <c r="C163" s="1056"/>
      <c r="D163" s="1057"/>
      <c r="E163" s="1057"/>
      <c r="F163" s="1058"/>
      <c r="G163" s="1057"/>
      <c r="H163" s="1059"/>
      <c r="I163" s="1057"/>
      <c r="J163" s="1060"/>
      <c r="K163" s="1061"/>
      <c r="L163" s="1061"/>
      <c r="M163" s="1061"/>
      <c r="N163" s="1061"/>
      <c r="O163" s="1061"/>
      <c r="P163" s="1061"/>
      <c r="Q163" s="1061"/>
      <c r="R163" s="1061"/>
      <c r="S163" s="1061"/>
      <c r="T163" s="1061"/>
      <c r="U163" s="1061"/>
      <c r="V163" s="1061"/>
    </row>
    <row r="164" spans="1:22" ht="12.75" customHeight="1" hidden="1">
      <c r="A164" s="1054"/>
      <c r="B164" s="1055"/>
      <c r="C164" s="1056"/>
      <c r="D164" s="1057"/>
      <c r="E164" s="1057"/>
      <c r="F164" s="1058"/>
      <c r="G164" s="1057"/>
      <c r="H164" s="1059"/>
      <c r="I164" s="1057"/>
      <c r="J164" s="1060"/>
      <c r="K164" s="1061"/>
      <c r="L164" s="1061"/>
      <c r="M164" s="1061"/>
      <c r="N164" s="1061"/>
      <c r="O164" s="1061"/>
      <c r="P164" s="1061"/>
      <c r="Q164" s="1061"/>
      <c r="R164" s="1061"/>
      <c r="S164" s="1061"/>
      <c r="T164" s="1061"/>
      <c r="U164" s="1061"/>
      <c r="V164" s="1061"/>
    </row>
    <row r="165" spans="1:22" ht="12.75" customHeight="1" hidden="1">
      <c r="A165" s="1054"/>
      <c r="B165" s="1055"/>
      <c r="C165" s="1056"/>
      <c r="D165" s="1057"/>
      <c r="E165" s="1057"/>
      <c r="F165" s="1058"/>
      <c r="G165" s="1057"/>
      <c r="H165" s="1059"/>
      <c r="I165" s="1057"/>
      <c r="J165" s="1060"/>
      <c r="K165" s="1061"/>
      <c r="L165" s="1061"/>
      <c r="M165" s="1061"/>
      <c r="N165" s="1061"/>
      <c r="O165" s="1061"/>
      <c r="P165" s="1061"/>
      <c r="Q165" s="1061"/>
      <c r="R165" s="1061"/>
      <c r="S165" s="1061"/>
      <c r="T165" s="1061"/>
      <c r="U165" s="1061"/>
      <c r="V165" s="1061"/>
    </row>
    <row r="166" spans="1:22" ht="12.75" customHeight="1" hidden="1">
      <c r="A166" s="1054"/>
      <c r="B166" s="1055"/>
      <c r="C166" s="1056"/>
      <c r="D166" s="1057"/>
      <c r="E166" s="1057"/>
      <c r="F166" s="1058"/>
      <c r="G166" s="1057"/>
      <c r="H166" s="1059"/>
      <c r="I166" s="1057"/>
      <c r="J166" s="1060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</row>
    <row r="167" spans="1:22" ht="12.75" customHeight="1" hidden="1">
      <c r="A167" s="1054"/>
      <c r="B167" s="1055"/>
      <c r="C167" s="1056"/>
      <c r="D167" s="1057"/>
      <c r="E167" s="1057"/>
      <c r="F167" s="1058"/>
      <c r="G167" s="1057"/>
      <c r="H167" s="1059"/>
      <c r="I167" s="1057"/>
      <c r="J167" s="1060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</row>
    <row r="168" spans="1:22" ht="12.75" customHeight="1" hidden="1">
      <c r="A168" s="1054"/>
      <c r="B168" s="1055"/>
      <c r="C168" s="1056"/>
      <c r="D168" s="1057"/>
      <c r="E168" s="1057"/>
      <c r="F168" s="1058"/>
      <c r="G168" s="1057"/>
      <c r="H168" s="1059"/>
      <c r="I168" s="1057"/>
      <c r="J168" s="1060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</row>
    <row r="169" spans="1:22" ht="12.75" hidden="1">
      <c r="A169" s="1054"/>
      <c r="B169" s="1055"/>
      <c r="C169" s="1056"/>
      <c r="D169" s="1057"/>
      <c r="E169" s="1057"/>
      <c r="F169" s="1058"/>
      <c r="G169" s="1057"/>
      <c r="H169" s="1059"/>
      <c r="I169" s="1057"/>
      <c r="J169" s="1060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</row>
    <row r="170" spans="1:23" ht="12.75">
      <c r="A170" s="1021"/>
      <c r="B170" s="110"/>
      <c r="C170" s="1023"/>
      <c r="D170" s="287"/>
      <c r="E170" s="287"/>
      <c r="F170" s="287"/>
      <c r="G170" s="287"/>
      <c r="H170" s="1022"/>
      <c r="I170" s="1629" t="s">
        <v>536</v>
      </c>
      <c r="J170" s="1629"/>
      <c r="K170" s="1629"/>
      <c r="L170" s="1629"/>
      <c r="M170" s="1629"/>
      <c r="N170" s="1629"/>
      <c r="O170" s="1629"/>
      <c r="P170" s="1629"/>
      <c r="Q170" s="1629"/>
      <c r="R170" s="1629"/>
      <c r="S170" s="1629"/>
      <c r="T170" s="1629"/>
      <c r="U170" s="1629"/>
      <c r="V170" s="1629"/>
      <c r="W170" s="1629"/>
    </row>
    <row r="171" spans="1:22" ht="12.75">
      <c r="A171" s="1021"/>
      <c r="B171" s="110"/>
      <c r="C171" s="286"/>
      <c r="D171" s="287"/>
      <c r="E171" s="287"/>
      <c r="F171" s="287"/>
      <c r="G171" s="287"/>
      <c r="H171" s="1022"/>
      <c r="I171" s="28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V171" s="5"/>
    </row>
    <row r="172" spans="1:23" s="1024" customFormat="1" ht="39.75" customHeight="1">
      <c r="A172" s="822" t="s">
        <v>414</v>
      </c>
      <c r="B172" s="823"/>
      <c r="C172" s="824"/>
      <c r="D172" s="1010" t="s">
        <v>13</v>
      </c>
      <c r="E172" s="1010" t="s">
        <v>14</v>
      </c>
      <c r="F172" s="827" t="s">
        <v>15</v>
      </c>
      <c r="G172" s="1010" t="s">
        <v>16</v>
      </c>
      <c r="H172" s="827" t="s">
        <v>15</v>
      </c>
      <c r="I172" s="1010" t="s">
        <v>17</v>
      </c>
      <c r="J172" s="827" t="s">
        <v>15</v>
      </c>
      <c r="K172" s="828" t="s">
        <v>20</v>
      </c>
      <c r="L172" s="829" t="s">
        <v>18</v>
      </c>
      <c r="M172" s="830">
        <v>2012</v>
      </c>
      <c r="N172" s="1062" t="s">
        <v>537</v>
      </c>
      <c r="O172" s="828" t="s">
        <v>20</v>
      </c>
      <c r="P172" s="828" t="s">
        <v>21</v>
      </c>
      <c r="Q172" s="21" t="s">
        <v>22</v>
      </c>
      <c r="R172" s="21" t="s">
        <v>436</v>
      </c>
      <c r="S172" s="21" t="s">
        <v>23</v>
      </c>
      <c r="T172" s="20" t="s">
        <v>24</v>
      </c>
      <c r="U172" s="19" t="s">
        <v>437</v>
      </c>
      <c r="V172" s="22" t="s">
        <v>26</v>
      </c>
      <c r="W172" s="827" t="s">
        <v>15</v>
      </c>
    </row>
    <row r="173" spans="1:23" s="4" customFormat="1" ht="12.75">
      <c r="A173" s="1063" t="s">
        <v>538</v>
      </c>
      <c r="B173" s="1064"/>
      <c r="C173" s="1064"/>
      <c r="D173" s="83">
        <f>D174+D175+D176+D177+D181+D185+D186</f>
        <v>79100</v>
      </c>
      <c r="E173" s="83">
        <v>24515</v>
      </c>
      <c r="F173" s="84">
        <v>30.99</v>
      </c>
      <c r="G173" s="83">
        <f>G174+G175+G176+G177+G181+G185+G186</f>
        <v>44030</v>
      </c>
      <c r="H173" s="86">
        <v>55.66</v>
      </c>
      <c r="I173" s="83">
        <f>I174+I175+I176+I177+I181+I185+I186</f>
        <v>67393</v>
      </c>
      <c r="J173" s="992">
        <v>85.2</v>
      </c>
      <c r="K173" s="982">
        <f>SUM(K174,K175,K176,K177,K181,K185,K186)</f>
        <v>79950</v>
      </c>
      <c r="L173" s="982">
        <f>SUM(L174,L175,L176,L177,L181,L185,L186)</f>
        <v>93400</v>
      </c>
      <c r="M173" s="982">
        <f>SUM(M174,M175,M176,M177,M181,M185,M186)</f>
        <v>66470</v>
      </c>
      <c r="N173" s="83">
        <f>N174+N175+N176+N177+N181+N185+N186+N187</f>
        <v>23529.180000000004</v>
      </c>
      <c r="O173" s="1025">
        <v>1000</v>
      </c>
      <c r="P173" s="982">
        <f>SUM(P174,P175,P176,P177,P181,P185,P186)</f>
        <v>67470</v>
      </c>
      <c r="Q173" s="983">
        <f>Q174+Q175+Q176+Q177+Q181+Q185+Q186+Q187</f>
        <v>44630.030000000006</v>
      </c>
      <c r="R173" s="983">
        <f>R174+R175+R176+R177+R181+R185+R186</f>
        <v>67470</v>
      </c>
      <c r="S173" s="983">
        <f>S174+S175+S176+S177+S181+S185+S186+S187</f>
        <v>65415.75</v>
      </c>
      <c r="T173" s="983">
        <f>SUM(T174,T175,T176,T177,T181,T185,T186,T187)</f>
        <v>87889</v>
      </c>
      <c r="U173" s="1026">
        <f>U174+U175+U185+U187</f>
        <v>20419</v>
      </c>
      <c r="V173" s="983">
        <f>V174+V175+V176+V177+V181+V185+V186+V187</f>
        <v>85234.86</v>
      </c>
      <c r="W173" s="843">
        <f>V173/T173*100</f>
        <v>96.9801226547122</v>
      </c>
    </row>
    <row r="174" spans="1:23" s="5" customFormat="1" ht="12.75">
      <c r="A174" s="45">
        <v>610</v>
      </c>
      <c r="B174" s="46"/>
      <c r="C174" s="993" t="s">
        <v>439</v>
      </c>
      <c r="D174" s="38">
        <v>50000</v>
      </c>
      <c r="E174" s="63">
        <v>14987</v>
      </c>
      <c r="F174" s="38"/>
      <c r="G174" s="63">
        <v>28304</v>
      </c>
      <c r="H174" s="92"/>
      <c r="I174" s="63">
        <v>42748</v>
      </c>
      <c r="J174" s="61"/>
      <c r="K174" s="62">
        <v>50000</v>
      </c>
      <c r="L174" s="62">
        <v>57938</v>
      </c>
      <c r="M174" s="62">
        <v>40000</v>
      </c>
      <c r="N174" s="63">
        <v>14707.74</v>
      </c>
      <c r="O174" s="62"/>
      <c r="P174" s="62">
        <v>40000</v>
      </c>
      <c r="Q174" s="62">
        <v>27480.75</v>
      </c>
      <c r="R174" s="62">
        <v>40000</v>
      </c>
      <c r="S174" s="62">
        <v>39698.7</v>
      </c>
      <c r="T174" s="186">
        <v>54000</v>
      </c>
      <c r="U174" s="1065">
        <v>14000</v>
      </c>
      <c r="V174" s="186">
        <v>52721.9</v>
      </c>
      <c r="W174" s="44"/>
    </row>
    <row r="175" spans="1:23" ht="12.75">
      <c r="A175" s="45">
        <v>620</v>
      </c>
      <c r="B175" s="46"/>
      <c r="C175" s="35" t="s">
        <v>166</v>
      </c>
      <c r="D175" s="38">
        <v>17600</v>
      </c>
      <c r="E175" s="63">
        <v>5079</v>
      </c>
      <c r="F175" s="38"/>
      <c r="G175" s="63">
        <v>8426</v>
      </c>
      <c r="H175" s="92"/>
      <c r="I175" s="63">
        <v>13541</v>
      </c>
      <c r="J175" s="61"/>
      <c r="K175" s="62">
        <v>17600</v>
      </c>
      <c r="L175" s="62">
        <v>20315</v>
      </c>
      <c r="M175" s="62">
        <v>14500</v>
      </c>
      <c r="N175" s="63">
        <v>5638.28</v>
      </c>
      <c r="O175" s="62"/>
      <c r="P175" s="62">
        <v>14500</v>
      </c>
      <c r="Q175" s="62">
        <v>10067.18</v>
      </c>
      <c r="R175" s="62">
        <v>14500</v>
      </c>
      <c r="S175" s="62">
        <v>14495.43</v>
      </c>
      <c r="T175" s="186">
        <v>19300</v>
      </c>
      <c r="U175" s="1065">
        <v>4800</v>
      </c>
      <c r="V175" s="186">
        <v>19425.42</v>
      </c>
      <c r="W175" s="61"/>
    </row>
    <row r="176" spans="1:23" ht="12.75">
      <c r="A176" s="45">
        <v>632</v>
      </c>
      <c r="B176" s="46"/>
      <c r="C176" s="35" t="s">
        <v>170</v>
      </c>
      <c r="D176" s="38">
        <v>2000</v>
      </c>
      <c r="E176" s="63">
        <v>366</v>
      </c>
      <c r="F176" s="38"/>
      <c r="G176" s="63">
        <v>765</v>
      </c>
      <c r="H176" s="92"/>
      <c r="I176" s="63">
        <v>1124</v>
      </c>
      <c r="J176" s="61"/>
      <c r="K176" s="62">
        <v>1550</v>
      </c>
      <c r="L176" s="131">
        <v>1482</v>
      </c>
      <c r="M176" s="131">
        <v>1500</v>
      </c>
      <c r="N176" s="63">
        <v>410.34</v>
      </c>
      <c r="O176" s="131"/>
      <c r="P176" s="131">
        <v>1500</v>
      </c>
      <c r="Q176" s="131">
        <v>794.83</v>
      </c>
      <c r="R176" s="131">
        <v>1500</v>
      </c>
      <c r="S176" s="131">
        <v>1195.23</v>
      </c>
      <c r="T176" s="186">
        <v>1500</v>
      </c>
      <c r="U176" s="278"/>
      <c r="V176" s="131">
        <v>1562.71</v>
      </c>
      <c r="W176" s="61"/>
    </row>
    <row r="177" spans="1:23" ht="12.75">
      <c r="A177" s="96">
        <v>633</v>
      </c>
      <c r="B177" s="145"/>
      <c r="C177" s="97" t="s">
        <v>172</v>
      </c>
      <c r="D177" s="38">
        <f>D179+D180</f>
        <v>1500</v>
      </c>
      <c r="E177" s="63">
        <v>675</v>
      </c>
      <c r="F177" s="38"/>
      <c r="G177" s="63">
        <v>693</v>
      </c>
      <c r="H177" s="92"/>
      <c r="I177" s="63">
        <f aca="true" t="shared" si="1" ref="I177:N177">I179+I180</f>
        <v>695</v>
      </c>
      <c r="J177" s="63">
        <f t="shared" si="1"/>
        <v>0</v>
      </c>
      <c r="K177" s="63">
        <f t="shared" si="1"/>
        <v>1400</v>
      </c>
      <c r="L177" s="63">
        <f t="shared" si="1"/>
        <v>1759</v>
      </c>
      <c r="M177" s="63">
        <f t="shared" si="1"/>
        <v>1500</v>
      </c>
      <c r="N177" s="63">
        <f t="shared" si="1"/>
        <v>0</v>
      </c>
      <c r="O177" s="63"/>
      <c r="P177" s="63">
        <f>P179+P180</f>
        <v>500</v>
      </c>
      <c r="Q177" s="66">
        <v>87.8</v>
      </c>
      <c r="R177" s="66">
        <f>R178+R179+R180</f>
        <v>400</v>
      </c>
      <c r="S177" s="66">
        <f>S178+S179+S180</f>
        <v>125.97999999999999</v>
      </c>
      <c r="T177" s="66">
        <f>T179+T180+T178</f>
        <v>400</v>
      </c>
      <c r="U177" s="1066"/>
      <c r="V177" s="66">
        <f>V178+V179+V180</f>
        <v>51.29</v>
      </c>
      <c r="W177" s="61"/>
    </row>
    <row r="178" spans="1:23" ht="12.75">
      <c r="A178" s="45">
        <v>633</v>
      </c>
      <c r="B178" s="46" t="s">
        <v>55</v>
      </c>
      <c r="C178" s="35" t="s">
        <v>539</v>
      </c>
      <c r="D178" s="38"/>
      <c r="E178" s="63"/>
      <c r="F178" s="38"/>
      <c r="G178" s="63"/>
      <c r="H178" s="92"/>
      <c r="I178" s="63"/>
      <c r="J178" s="63"/>
      <c r="K178" s="63"/>
      <c r="L178" s="63"/>
      <c r="M178" s="63"/>
      <c r="N178" s="63"/>
      <c r="O178" s="63"/>
      <c r="P178" s="63"/>
      <c r="Q178" s="70">
        <v>87.8</v>
      </c>
      <c r="R178" s="70">
        <v>100</v>
      </c>
      <c r="S178" s="976">
        <v>87.8</v>
      </c>
      <c r="T178" s="976">
        <v>100</v>
      </c>
      <c r="U178" s="138"/>
      <c r="V178" s="976">
        <v>0</v>
      </c>
      <c r="W178" s="61"/>
    </row>
    <row r="179" spans="1:23" ht="12.75">
      <c r="A179" s="914">
        <v>633</v>
      </c>
      <c r="B179" s="939" t="s">
        <v>73</v>
      </c>
      <c r="C179" s="915" t="s">
        <v>330</v>
      </c>
      <c r="D179" s="973">
        <v>500</v>
      </c>
      <c r="E179" s="276">
        <v>485</v>
      </c>
      <c r="F179" s="973"/>
      <c r="G179" s="276">
        <v>513</v>
      </c>
      <c r="H179" s="92"/>
      <c r="I179" s="276">
        <v>513</v>
      </c>
      <c r="J179" s="61"/>
      <c r="K179" s="131">
        <v>550</v>
      </c>
      <c r="L179" s="253">
        <v>920</v>
      </c>
      <c r="M179" s="253">
        <v>1000</v>
      </c>
      <c r="N179" s="69"/>
      <c r="O179" s="977">
        <v>1000</v>
      </c>
      <c r="P179" s="253">
        <v>0</v>
      </c>
      <c r="Q179" s="976">
        <v>0</v>
      </c>
      <c r="R179" s="976">
        <v>0</v>
      </c>
      <c r="S179" s="976">
        <v>0</v>
      </c>
      <c r="T179" s="976">
        <v>0</v>
      </c>
      <c r="U179" s="278"/>
      <c r="V179" s="976">
        <v>0</v>
      </c>
      <c r="W179" s="61"/>
    </row>
    <row r="180" spans="1:23" ht="12.75">
      <c r="A180" s="34">
        <v>633</v>
      </c>
      <c r="B180" s="46" t="s">
        <v>454</v>
      </c>
      <c r="C180" s="35" t="s">
        <v>540</v>
      </c>
      <c r="D180" s="973">
        <v>1000</v>
      </c>
      <c r="E180" s="276">
        <v>180</v>
      </c>
      <c r="F180" s="973"/>
      <c r="G180" s="276">
        <v>180</v>
      </c>
      <c r="H180" s="92"/>
      <c r="I180" s="276">
        <v>182</v>
      </c>
      <c r="J180" s="61"/>
      <c r="K180" s="131">
        <v>850</v>
      </c>
      <c r="L180" s="253">
        <v>839</v>
      </c>
      <c r="M180" s="253">
        <v>500</v>
      </c>
      <c r="N180" s="69"/>
      <c r="O180" s="131"/>
      <c r="P180" s="253">
        <v>500</v>
      </c>
      <c r="Q180" s="976">
        <v>0</v>
      </c>
      <c r="R180" s="976">
        <v>300</v>
      </c>
      <c r="S180" s="976">
        <v>38.18</v>
      </c>
      <c r="T180" s="976">
        <v>300</v>
      </c>
      <c r="U180" s="278"/>
      <c r="V180" s="976">
        <v>51.29</v>
      </c>
      <c r="W180" s="94"/>
    </row>
    <row r="181" spans="1:23" ht="12.75">
      <c r="A181" s="1045">
        <v>634</v>
      </c>
      <c r="B181" s="72"/>
      <c r="C181" s="110" t="s">
        <v>174</v>
      </c>
      <c r="D181" s="38">
        <f>D182+D183+D184</f>
        <v>6000</v>
      </c>
      <c r="E181" s="63">
        <v>2423</v>
      </c>
      <c r="F181" s="38"/>
      <c r="G181" s="63">
        <v>4405</v>
      </c>
      <c r="H181" s="92"/>
      <c r="I181" s="63">
        <f>I182+I183+I184</f>
        <v>7307</v>
      </c>
      <c r="J181" s="61"/>
      <c r="K181" s="62">
        <f>SUM(K182,K183,K184)</f>
        <v>7400</v>
      </c>
      <c r="L181" s="62">
        <f>SUM(L182,L183,L184)</f>
        <v>9603</v>
      </c>
      <c r="M181" s="62">
        <f>SUM(M182,M183,M184)</f>
        <v>7800</v>
      </c>
      <c r="N181" s="63">
        <f>N182+N183+N184</f>
        <v>672.47</v>
      </c>
      <c r="O181" s="62"/>
      <c r="P181" s="62">
        <f>SUM(P182,P183,P184)</f>
        <v>7800</v>
      </c>
      <c r="Q181" s="186">
        <f>Q182+Q183+Q184</f>
        <v>2525.3599999999997</v>
      </c>
      <c r="R181" s="186">
        <f>R182+R183+R184</f>
        <v>7800</v>
      </c>
      <c r="S181" s="186">
        <f>S182+S183+S184</f>
        <v>5555.2</v>
      </c>
      <c r="T181" s="186">
        <f>SUM(T182,T183,T184)</f>
        <v>7800</v>
      </c>
      <c r="U181" s="278"/>
      <c r="V181" s="186">
        <f>V182+V183+V184</f>
        <v>6693.62</v>
      </c>
      <c r="W181" s="61"/>
    </row>
    <row r="182" spans="1:23" ht="12.75">
      <c r="A182" s="45">
        <v>634</v>
      </c>
      <c r="B182" s="46" t="s">
        <v>31</v>
      </c>
      <c r="C182" s="35" t="s">
        <v>523</v>
      </c>
      <c r="D182" s="973">
        <v>3000</v>
      </c>
      <c r="E182" s="276">
        <v>542</v>
      </c>
      <c r="F182" s="973"/>
      <c r="G182" s="276">
        <v>1892</v>
      </c>
      <c r="H182" s="92"/>
      <c r="I182" s="276">
        <v>3829</v>
      </c>
      <c r="J182" s="61"/>
      <c r="K182" s="62">
        <v>3900</v>
      </c>
      <c r="L182" s="253">
        <v>5075</v>
      </c>
      <c r="M182" s="253">
        <v>5000</v>
      </c>
      <c r="N182" s="69">
        <v>518.63</v>
      </c>
      <c r="O182" s="131"/>
      <c r="P182" s="253">
        <v>5000</v>
      </c>
      <c r="Q182" s="976">
        <v>2136.18</v>
      </c>
      <c r="R182" s="976">
        <v>5000</v>
      </c>
      <c r="S182" s="976">
        <v>3346.77</v>
      </c>
      <c r="T182" s="976">
        <v>5000</v>
      </c>
      <c r="U182" s="278"/>
      <c r="V182" s="976">
        <v>4225.33</v>
      </c>
      <c r="W182" s="61"/>
    </row>
    <row r="183" spans="1:23" ht="12.75">
      <c r="A183" s="45">
        <v>634</v>
      </c>
      <c r="B183" s="46" t="s">
        <v>28</v>
      </c>
      <c r="C183" s="35" t="s">
        <v>525</v>
      </c>
      <c r="D183" s="973">
        <v>1000</v>
      </c>
      <c r="E183" s="276">
        <v>765</v>
      </c>
      <c r="F183" s="973"/>
      <c r="G183" s="276">
        <v>765</v>
      </c>
      <c r="H183" s="92"/>
      <c r="I183" s="276">
        <v>885</v>
      </c>
      <c r="J183" s="61"/>
      <c r="K183" s="131">
        <v>900</v>
      </c>
      <c r="L183" s="253">
        <v>1650</v>
      </c>
      <c r="M183" s="253">
        <v>300</v>
      </c>
      <c r="N183" s="69">
        <v>27</v>
      </c>
      <c r="O183" s="131"/>
      <c r="P183" s="253">
        <v>300</v>
      </c>
      <c r="Q183" s="976">
        <v>27</v>
      </c>
      <c r="R183" s="976">
        <v>300</v>
      </c>
      <c r="S183" s="976">
        <v>27</v>
      </c>
      <c r="T183" s="976">
        <v>300</v>
      </c>
      <c r="U183" s="278"/>
      <c r="V183" s="976">
        <v>247.66</v>
      </c>
      <c r="W183" s="61"/>
    </row>
    <row r="184" spans="1:23" ht="12.75">
      <c r="A184" s="45">
        <v>634</v>
      </c>
      <c r="B184" s="46" t="s">
        <v>34</v>
      </c>
      <c r="C184" s="35" t="s">
        <v>524</v>
      </c>
      <c r="D184" s="973">
        <v>2000</v>
      </c>
      <c r="E184" s="276">
        <v>1116</v>
      </c>
      <c r="F184" s="973"/>
      <c r="G184" s="276">
        <v>1748</v>
      </c>
      <c r="H184" s="92"/>
      <c r="I184" s="276">
        <v>2593</v>
      </c>
      <c r="J184" s="61"/>
      <c r="K184" s="62">
        <v>2600</v>
      </c>
      <c r="L184" s="253">
        <v>2878</v>
      </c>
      <c r="M184" s="253">
        <v>2500</v>
      </c>
      <c r="N184" s="276">
        <v>126.84</v>
      </c>
      <c r="O184" s="131"/>
      <c r="P184" s="253">
        <v>2500</v>
      </c>
      <c r="Q184" s="976">
        <v>362.18</v>
      </c>
      <c r="R184" s="976">
        <v>2500</v>
      </c>
      <c r="S184" s="976">
        <v>2181.43</v>
      </c>
      <c r="T184" s="976">
        <v>2500</v>
      </c>
      <c r="U184" s="278"/>
      <c r="V184" s="976">
        <v>2220.63</v>
      </c>
      <c r="W184" s="61"/>
    </row>
    <row r="185" spans="1:23" ht="12.75">
      <c r="A185" s="141">
        <v>635</v>
      </c>
      <c r="B185" s="145"/>
      <c r="C185" s="97" t="s">
        <v>272</v>
      </c>
      <c r="D185" s="38">
        <v>1000</v>
      </c>
      <c r="E185" s="63">
        <v>887</v>
      </c>
      <c r="F185" s="38"/>
      <c r="G185" s="63">
        <v>1269</v>
      </c>
      <c r="H185" s="92"/>
      <c r="I185" s="63">
        <v>1810</v>
      </c>
      <c r="J185" s="61"/>
      <c r="K185" s="62">
        <v>1810</v>
      </c>
      <c r="L185" s="131">
        <v>2050</v>
      </c>
      <c r="M185" s="131">
        <v>1000</v>
      </c>
      <c r="N185" s="63">
        <v>883.56</v>
      </c>
      <c r="O185" s="949">
        <v>2000</v>
      </c>
      <c r="P185" s="131">
        <v>3000</v>
      </c>
      <c r="Q185" s="186">
        <v>2457.32</v>
      </c>
      <c r="R185" s="186">
        <v>3000</v>
      </c>
      <c r="S185" s="186">
        <v>2998.42</v>
      </c>
      <c r="T185" s="186">
        <v>3500</v>
      </c>
      <c r="U185" s="1065">
        <v>500</v>
      </c>
      <c r="V185" s="186">
        <v>3346.19</v>
      </c>
      <c r="W185" s="61"/>
    </row>
    <row r="186" spans="1:23" ht="12.75">
      <c r="A186" s="34">
        <v>637</v>
      </c>
      <c r="B186" s="46"/>
      <c r="C186" s="35" t="s">
        <v>541</v>
      </c>
      <c r="D186" s="38">
        <v>1000</v>
      </c>
      <c r="E186" s="63">
        <v>98</v>
      </c>
      <c r="F186" s="38"/>
      <c r="G186" s="63">
        <v>168</v>
      </c>
      <c r="H186" s="92"/>
      <c r="I186" s="63">
        <v>168</v>
      </c>
      <c r="J186" s="61"/>
      <c r="K186" s="131">
        <v>190</v>
      </c>
      <c r="L186" s="131">
        <v>253</v>
      </c>
      <c r="M186" s="131">
        <v>170</v>
      </c>
      <c r="N186" s="63">
        <v>97.79</v>
      </c>
      <c r="O186" s="131"/>
      <c r="P186" s="131">
        <v>170</v>
      </c>
      <c r="Q186" s="186">
        <v>97.79</v>
      </c>
      <c r="R186" s="186">
        <v>270</v>
      </c>
      <c r="S186" s="186">
        <v>227.79</v>
      </c>
      <c r="T186" s="186">
        <v>270</v>
      </c>
      <c r="U186" s="1067"/>
      <c r="V186" s="186">
        <v>314.73</v>
      </c>
      <c r="W186" s="61"/>
    </row>
    <row r="187" spans="1:23" ht="12.75">
      <c r="A187" s="34">
        <v>642</v>
      </c>
      <c r="B187" s="46" t="s">
        <v>42</v>
      </c>
      <c r="C187" s="35" t="s">
        <v>542</v>
      </c>
      <c r="D187" s="38"/>
      <c r="E187" s="63"/>
      <c r="F187" s="38"/>
      <c r="G187" s="63"/>
      <c r="H187" s="92"/>
      <c r="I187" s="63"/>
      <c r="J187" s="61"/>
      <c r="K187" s="131"/>
      <c r="L187" s="131"/>
      <c r="M187" s="131"/>
      <c r="N187" s="63">
        <v>1119</v>
      </c>
      <c r="O187" s="131"/>
      <c r="P187" s="131"/>
      <c r="Q187" s="186">
        <v>1119</v>
      </c>
      <c r="R187" s="186">
        <v>0</v>
      </c>
      <c r="S187" s="186">
        <v>1119</v>
      </c>
      <c r="T187" s="186">
        <v>1119</v>
      </c>
      <c r="U187" s="1065">
        <v>1119</v>
      </c>
      <c r="V187" s="186">
        <v>1119</v>
      </c>
      <c r="W187" s="61"/>
    </row>
    <row r="188" spans="1:22" ht="12.75">
      <c r="A188" s="1068"/>
      <c r="B188" s="1069"/>
      <c r="C188" s="1070"/>
      <c r="D188" s="124"/>
      <c r="E188" s="170"/>
      <c r="F188" s="124"/>
      <c r="G188" s="170"/>
      <c r="H188" s="1071"/>
      <c r="N188" s="7"/>
      <c r="Q188" s="79"/>
      <c r="R188" s="79"/>
      <c r="S188" s="79"/>
      <c r="T188" s="79"/>
      <c r="U188" s="79"/>
      <c r="V188" s="79"/>
    </row>
    <row r="189" spans="1:23" s="4" customFormat="1" ht="12.75" customHeight="1">
      <c r="A189" s="1072" t="s">
        <v>543</v>
      </c>
      <c r="B189" s="1073"/>
      <c r="C189" s="1074"/>
      <c r="D189" s="1075">
        <f>D190+D192+D194</f>
        <v>12200</v>
      </c>
      <c r="E189" s="1076">
        <v>5154</v>
      </c>
      <c r="F189" s="1077">
        <v>51.54</v>
      </c>
      <c r="G189" s="1076">
        <f>G190+G191+G192+G193+G194+G196+G197+G195</f>
        <v>9033</v>
      </c>
      <c r="H189" s="1078">
        <v>74.04</v>
      </c>
      <c r="I189" s="1079">
        <f>I190+I191+I192+I193+I194+I196+I197+I195</f>
        <v>12308</v>
      </c>
      <c r="J189" s="838">
        <v>100.89</v>
      </c>
      <c r="K189" s="839">
        <f>SUM(K190,K192,K194,K195,K196,K197)</f>
        <v>15225</v>
      </c>
      <c r="L189" s="839">
        <f>L190+L191+L192+L193+L194+L195+L196+L197</f>
        <v>16282</v>
      </c>
      <c r="M189" s="839">
        <f>SUM(M190,M192,M194,M195,M196,M197)</f>
        <v>10450</v>
      </c>
      <c r="N189" s="1079">
        <f>N190+N192+N191+N193+N194+N195+N196+N197</f>
        <v>4580.200000000001</v>
      </c>
      <c r="O189" s="840">
        <v>1550</v>
      </c>
      <c r="P189" s="839">
        <f>SUM(P190,P192,P194,P195,P196,P197)</f>
        <v>12000</v>
      </c>
      <c r="Q189" s="841">
        <f>Q190+Q192+Q194</f>
        <v>7545.9</v>
      </c>
      <c r="R189" s="841">
        <f>R190+R192+R195+R191+R194</f>
        <v>12000</v>
      </c>
      <c r="S189" s="841">
        <f>S190+S192+S195+S191+S193+S194</f>
        <v>10766.8</v>
      </c>
      <c r="T189" s="841">
        <f>T190+T191+T192+T193+T194+T195</f>
        <v>14280</v>
      </c>
      <c r="U189" s="1031">
        <f>U190+U192+U194</f>
        <v>2280</v>
      </c>
      <c r="V189" s="841">
        <f>V190+V192+V195+V191+V193+V194</f>
        <v>13700.45</v>
      </c>
      <c r="W189" s="843">
        <f>V189/T189*100</f>
        <v>95.94152661064427</v>
      </c>
    </row>
    <row r="190" spans="1:23" ht="12.75">
      <c r="A190" s="45">
        <v>610</v>
      </c>
      <c r="B190" s="46"/>
      <c r="C190" s="993" t="s">
        <v>439</v>
      </c>
      <c r="D190" s="63">
        <v>6000</v>
      </c>
      <c r="E190" s="63">
        <v>1044</v>
      </c>
      <c r="F190" s="63"/>
      <c r="G190" s="63">
        <v>1972</v>
      </c>
      <c r="H190" s="92"/>
      <c r="I190" s="63">
        <v>2987</v>
      </c>
      <c r="J190" s="61"/>
      <c r="K190" s="62">
        <v>7000</v>
      </c>
      <c r="L190" s="131">
        <v>1545</v>
      </c>
      <c r="M190" s="131">
        <v>6000</v>
      </c>
      <c r="N190" s="63">
        <v>707.66</v>
      </c>
      <c r="O190" s="131"/>
      <c r="P190" s="131">
        <v>6000</v>
      </c>
      <c r="Q190" s="186">
        <v>3521.8</v>
      </c>
      <c r="R190" s="186">
        <v>0</v>
      </c>
      <c r="S190" s="186">
        <v>1488.37</v>
      </c>
      <c r="T190" s="186">
        <v>2340</v>
      </c>
      <c r="U190" s="1065">
        <v>1340</v>
      </c>
      <c r="V190" s="186">
        <v>2364.78</v>
      </c>
      <c r="W190" s="61"/>
    </row>
    <row r="191" spans="1:23" s="5" customFormat="1" ht="12.75">
      <c r="A191" s="852">
        <v>610</v>
      </c>
      <c r="B191" s="920"/>
      <c r="C191" s="865" t="s">
        <v>544</v>
      </c>
      <c r="D191" s="922"/>
      <c r="E191" s="922">
        <v>721</v>
      </c>
      <c r="F191" s="922"/>
      <c r="G191" s="922">
        <v>1426</v>
      </c>
      <c r="H191" s="92"/>
      <c r="I191" s="922">
        <v>2135</v>
      </c>
      <c r="J191" s="61"/>
      <c r="K191" s="1034">
        <v>3000</v>
      </c>
      <c r="L191" s="924">
        <v>5469</v>
      </c>
      <c r="M191" s="1080">
        <v>1600</v>
      </c>
      <c r="N191" s="996">
        <v>1354.04</v>
      </c>
      <c r="O191" s="966"/>
      <c r="P191" s="1080">
        <v>1600</v>
      </c>
      <c r="Q191" s="959">
        <v>2247.72</v>
      </c>
      <c r="R191" s="959">
        <v>6000</v>
      </c>
      <c r="S191" s="1081">
        <v>3810.33</v>
      </c>
      <c r="T191" s="1081">
        <v>5000</v>
      </c>
      <c r="U191" s="278"/>
      <c r="V191" s="1081">
        <v>4609.48</v>
      </c>
      <c r="W191" s="44"/>
    </row>
    <row r="192" spans="1:23" ht="12.75" customHeight="1">
      <c r="A192" s="45">
        <v>620</v>
      </c>
      <c r="B192" s="46"/>
      <c r="C192" s="35" t="s">
        <v>166</v>
      </c>
      <c r="D192" s="63">
        <v>2200</v>
      </c>
      <c r="E192" s="63">
        <v>253</v>
      </c>
      <c r="F192" s="63"/>
      <c r="G192" s="63">
        <v>428</v>
      </c>
      <c r="H192" s="92"/>
      <c r="I192" s="63">
        <v>691</v>
      </c>
      <c r="J192" s="61"/>
      <c r="K192" s="131">
        <v>2200</v>
      </c>
      <c r="L192" s="131">
        <v>869</v>
      </c>
      <c r="M192" s="131">
        <v>2000</v>
      </c>
      <c r="N192" s="63">
        <v>252.84</v>
      </c>
      <c r="O192" s="131"/>
      <c r="P192" s="131">
        <v>2000</v>
      </c>
      <c r="Q192" s="186">
        <v>1282.2</v>
      </c>
      <c r="R192" s="186">
        <v>2000</v>
      </c>
      <c r="S192" s="186">
        <v>918.28</v>
      </c>
      <c r="T192" s="186">
        <v>1640</v>
      </c>
      <c r="U192" s="1065">
        <v>640</v>
      </c>
      <c r="V192" s="186">
        <v>1601.32</v>
      </c>
      <c r="W192" s="61"/>
    </row>
    <row r="193" spans="1:23" ht="12.75" customHeight="1">
      <c r="A193" s="852">
        <v>620</v>
      </c>
      <c r="B193" s="920"/>
      <c r="C193" s="897" t="s">
        <v>545</v>
      </c>
      <c r="D193" s="922"/>
      <c r="E193" s="922">
        <v>388</v>
      </c>
      <c r="F193" s="922"/>
      <c r="G193" s="922">
        <v>641</v>
      </c>
      <c r="H193" s="92"/>
      <c r="I193" s="922">
        <v>1022</v>
      </c>
      <c r="J193" s="61"/>
      <c r="K193" s="1034">
        <v>1300</v>
      </c>
      <c r="L193" s="924">
        <v>1691</v>
      </c>
      <c r="M193" s="1080">
        <v>1000</v>
      </c>
      <c r="N193" s="996">
        <v>388.26</v>
      </c>
      <c r="O193" s="966"/>
      <c r="P193" s="1080">
        <v>1000</v>
      </c>
      <c r="Q193" s="959">
        <v>676.57</v>
      </c>
      <c r="R193" s="959">
        <v>0</v>
      </c>
      <c r="S193" s="1081">
        <v>1005.02</v>
      </c>
      <c r="T193" s="1081">
        <v>1000</v>
      </c>
      <c r="U193" s="278"/>
      <c r="V193" s="1081">
        <v>1005.02</v>
      </c>
      <c r="W193" s="61"/>
    </row>
    <row r="194" spans="1:23" ht="12.75" customHeight="1">
      <c r="A194" s="852">
        <v>633</v>
      </c>
      <c r="B194" s="920"/>
      <c r="C194" s="897" t="s">
        <v>546</v>
      </c>
      <c r="D194" s="922">
        <v>4000</v>
      </c>
      <c r="E194" s="922">
        <v>2748</v>
      </c>
      <c r="F194" s="922"/>
      <c r="G194" s="922">
        <v>4542</v>
      </c>
      <c r="H194" s="92"/>
      <c r="I194" s="922">
        <v>5449</v>
      </c>
      <c r="J194" s="61"/>
      <c r="K194" s="1034">
        <v>6000</v>
      </c>
      <c r="L194" s="924">
        <v>5999</v>
      </c>
      <c r="M194" s="966">
        <v>2400</v>
      </c>
      <c r="N194" s="922">
        <v>1877.4</v>
      </c>
      <c r="O194" s="949">
        <v>1550</v>
      </c>
      <c r="P194" s="966">
        <v>3950</v>
      </c>
      <c r="Q194" s="926">
        <v>2741.9</v>
      </c>
      <c r="R194" s="926">
        <v>3750</v>
      </c>
      <c r="S194" s="926">
        <v>3298.75</v>
      </c>
      <c r="T194" s="926">
        <v>4050</v>
      </c>
      <c r="U194" s="1082">
        <v>300</v>
      </c>
      <c r="V194" s="926">
        <v>3764.95</v>
      </c>
      <c r="W194" s="61"/>
    </row>
    <row r="195" spans="1:23" ht="12.75">
      <c r="A195" s="45">
        <v>633</v>
      </c>
      <c r="B195" s="920"/>
      <c r="C195" s="35" t="s">
        <v>222</v>
      </c>
      <c r="D195" s="922"/>
      <c r="E195" s="63">
        <v>0</v>
      </c>
      <c r="F195" s="922"/>
      <c r="G195" s="63">
        <v>24</v>
      </c>
      <c r="H195" s="92"/>
      <c r="I195" s="63">
        <v>24</v>
      </c>
      <c r="J195" s="61"/>
      <c r="K195" s="131">
        <v>25</v>
      </c>
      <c r="L195" s="131">
        <v>709</v>
      </c>
      <c r="M195" s="131">
        <v>50</v>
      </c>
      <c r="N195" s="63"/>
      <c r="O195" s="131"/>
      <c r="P195" s="131">
        <v>50</v>
      </c>
      <c r="Q195" s="186">
        <v>0</v>
      </c>
      <c r="R195" s="186">
        <v>250</v>
      </c>
      <c r="S195" s="186">
        <v>246.05</v>
      </c>
      <c r="T195" s="66">
        <v>250</v>
      </c>
      <c r="U195" s="1083"/>
      <c r="V195" s="186">
        <v>354.9</v>
      </c>
      <c r="W195" s="61"/>
    </row>
    <row r="196" spans="1:23" ht="12.75">
      <c r="A196" s="45">
        <v>634</v>
      </c>
      <c r="B196" s="46"/>
      <c r="C196" s="35" t="s">
        <v>174</v>
      </c>
      <c r="D196" s="63"/>
      <c r="E196" s="63">
        <v>0</v>
      </c>
      <c r="F196" s="63"/>
      <c r="G196" s="63">
        <v>0</v>
      </c>
      <c r="H196" s="92"/>
      <c r="I196" s="63">
        <v>0</v>
      </c>
      <c r="J196" s="61"/>
      <c r="K196" s="131">
        <v>0</v>
      </c>
      <c r="L196" s="131">
        <v>0</v>
      </c>
      <c r="M196" s="131">
        <v>0</v>
      </c>
      <c r="N196" s="63"/>
      <c r="O196" s="131"/>
      <c r="P196" s="131">
        <v>0</v>
      </c>
      <c r="Q196" s="186">
        <v>0</v>
      </c>
      <c r="R196" s="186">
        <v>0</v>
      </c>
      <c r="S196" s="186"/>
      <c r="T196" s="186">
        <v>0</v>
      </c>
      <c r="U196" s="186"/>
      <c r="V196" s="186"/>
      <c r="W196" s="61"/>
    </row>
    <row r="197" spans="1:23" ht="12.75">
      <c r="A197" s="45">
        <v>637</v>
      </c>
      <c r="B197" s="46"/>
      <c r="C197" s="36" t="s">
        <v>180</v>
      </c>
      <c r="D197" s="123"/>
      <c r="E197" s="123">
        <v>0</v>
      </c>
      <c r="F197" s="123"/>
      <c r="G197" s="123">
        <v>0</v>
      </c>
      <c r="H197" s="1084"/>
      <c r="I197" s="1085">
        <v>0</v>
      </c>
      <c r="J197" s="1086"/>
      <c r="K197" s="239">
        <v>0</v>
      </c>
      <c r="L197" s="239">
        <v>0</v>
      </c>
      <c r="M197" s="239">
        <v>0</v>
      </c>
      <c r="N197" s="1085"/>
      <c r="O197" s="239"/>
      <c r="P197" s="239">
        <v>0</v>
      </c>
      <c r="Q197" s="241">
        <v>0</v>
      </c>
      <c r="R197" s="241">
        <v>0</v>
      </c>
      <c r="S197" s="241"/>
      <c r="T197" s="241">
        <v>0</v>
      </c>
      <c r="U197" s="241"/>
      <c r="V197" s="241"/>
      <c r="W197" s="61"/>
    </row>
    <row r="198" spans="1:21" ht="12.75">
      <c r="A198" s="289"/>
      <c r="B198" s="289"/>
      <c r="C198" s="989"/>
      <c r="D198" s="111"/>
      <c r="E198" s="111"/>
      <c r="F198" s="111"/>
      <c r="G198" s="111"/>
      <c r="H198" s="990"/>
      <c r="I198" s="111"/>
      <c r="N198" s="111"/>
      <c r="T198" s="79"/>
      <c r="U198" s="79"/>
    </row>
    <row r="199" spans="1:23" s="289" customFormat="1" ht="11.25">
      <c r="A199" s="834" t="s">
        <v>547</v>
      </c>
      <c r="B199" s="1087"/>
      <c r="C199" s="1088"/>
      <c r="D199" s="83">
        <v>0</v>
      </c>
      <c r="E199" s="83">
        <v>0</v>
      </c>
      <c r="F199" s="84">
        <v>0</v>
      </c>
      <c r="G199" s="83">
        <v>0</v>
      </c>
      <c r="H199" s="86">
        <v>0</v>
      </c>
      <c r="I199" s="837">
        <v>0</v>
      </c>
      <c r="J199" s="1089">
        <v>0</v>
      </c>
      <c r="K199" s="1090">
        <f>SUM(K200)</f>
        <v>0</v>
      </c>
      <c r="L199" s="1090">
        <f>SUM(L200)</f>
        <v>0</v>
      </c>
      <c r="M199" s="1090">
        <f>SUM(M200)</f>
        <v>0</v>
      </c>
      <c r="N199" s="133">
        <v>0</v>
      </c>
      <c r="O199" s="1090">
        <v>0</v>
      </c>
      <c r="P199" s="1090">
        <f>SUM(P200)</f>
        <v>0</v>
      </c>
      <c r="Q199" s="1091">
        <v>0</v>
      </c>
      <c r="R199" s="1091">
        <v>0</v>
      </c>
      <c r="S199" s="1091">
        <v>0</v>
      </c>
      <c r="T199" s="841">
        <f>SUM(T200)</f>
        <v>0</v>
      </c>
      <c r="U199" s="841">
        <v>0</v>
      </c>
      <c r="V199" s="1091">
        <v>0</v>
      </c>
      <c r="W199" s="1092">
        <v>0</v>
      </c>
    </row>
    <row r="200" spans="1:23" ht="12.75">
      <c r="A200" s="45">
        <v>637</v>
      </c>
      <c r="B200" s="46"/>
      <c r="C200" s="36" t="s">
        <v>180</v>
      </c>
      <c r="D200" s="185">
        <v>0</v>
      </c>
      <c r="E200" s="62">
        <v>0</v>
      </c>
      <c r="F200" s="62">
        <v>0</v>
      </c>
      <c r="G200" s="62">
        <v>0</v>
      </c>
      <c r="H200" s="92"/>
      <c r="I200" s="236">
        <v>0</v>
      </c>
      <c r="J200" s="299"/>
      <c r="K200" s="131">
        <f>SUM(K201)</f>
        <v>0</v>
      </c>
      <c r="L200" s="47">
        <v>0</v>
      </c>
      <c r="M200" s="47">
        <v>0</v>
      </c>
      <c r="N200" s="62">
        <v>0</v>
      </c>
      <c r="O200" s="47"/>
      <c r="P200" s="47">
        <v>0</v>
      </c>
      <c r="Q200" s="1093">
        <v>0</v>
      </c>
      <c r="R200" s="1093">
        <v>0</v>
      </c>
      <c r="S200" s="1093"/>
      <c r="T200" s="186">
        <v>0</v>
      </c>
      <c r="U200" s="186"/>
      <c r="V200" s="1093"/>
      <c r="W200" s="61"/>
    </row>
    <row r="201" spans="1:23" ht="12.75">
      <c r="A201" s="45">
        <v>637</v>
      </c>
      <c r="B201" s="46" t="s">
        <v>68</v>
      </c>
      <c r="C201" s="35" t="s">
        <v>533</v>
      </c>
      <c r="D201" s="276">
        <v>0</v>
      </c>
      <c r="E201" s="1094">
        <v>0</v>
      </c>
      <c r="F201" s="1094">
        <v>0</v>
      </c>
      <c r="G201" s="276">
        <v>0</v>
      </c>
      <c r="H201" s="92"/>
      <c r="I201" s="1095">
        <v>0</v>
      </c>
      <c r="J201" s="1086"/>
      <c r="K201" s="1096">
        <v>0</v>
      </c>
      <c r="L201" s="1097">
        <v>0</v>
      </c>
      <c r="M201" s="1097">
        <v>0</v>
      </c>
      <c r="N201" s="276">
        <v>0</v>
      </c>
      <c r="O201" s="1097"/>
      <c r="P201" s="1097">
        <v>0</v>
      </c>
      <c r="Q201" s="1098">
        <v>0</v>
      </c>
      <c r="R201" s="1098">
        <v>0</v>
      </c>
      <c r="S201" s="1098"/>
      <c r="T201" s="186">
        <v>0</v>
      </c>
      <c r="U201" s="186"/>
      <c r="V201" s="1098"/>
      <c r="W201" s="61"/>
    </row>
    <row r="202" spans="1:22" ht="12.75">
      <c r="A202" s="289"/>
      <c r="B202" s="289"/>
      <c r="C202" s="989"/>
      <c r="D202" s="73"/>
      <c r="E202" s="73"/>
      <c r="F202" s="73"/>
      <c r="G202" s="73"/>
      <c r="H202" s="78"/>
      <c r="N202" s="7"/>
      <c r="Q202" s="120"/>
      <c r="R202" s="120"/>
      <c r="S202" s="120"/>
      <c r="T202" s="79"/>
      <c r="U202" s="79"/>
      <c r="V202" s="120"/>
    </row>
    <row r="203" spans="1:23" s="289" customFormat="1" ht="11.25">
      <c r="A203" s="834" t="s">
        <v>548</v>
      </c>
      <c r="B203" s="1087"/>
      <c r="C203" s="1088"/>
      <c r="D203" s="83">
        <v>6000</v>
      </c>
      <c r="E203" s="83">
        <f>E204+E206</f>
        <v>0</v>
      </c>
      <c r="F203" s="84">
        <v>0</v>
      </c>
      <c r="G203" s="83">
        <f>G204+G206</f>
        <v>716</v>
      </c>
      <c r="H203" s="86">
        <v>11.93</v>
      </c>
      <c r="I203" s="837">
        <f>I204+I206</f>
        <v>1002</v>
      </c>
      <c r="J203" s="1089">
        <v>16.7</v>
      </c>
      <c r="K203" s="839">
        <f>SUM(K204,K206)</f>
        <v>1000</v>
      </c>
      <c r="L203" s="839">
        <f>SUM(L204,L206)</f>
        <v>3431</v>
      </c>
      <c r="M203" s="839">
        <f>SUM(M204,M206)</f>
        <v>3000</v>
      </c>
      <c r="N203" s="837">
        <v>0</v>
      </c>
      <c r="O203" s="839">
        <v>0</v>
      </c>
      <c r="P203" s="839">
        <f>SUM(P204,P206)</f>
        <v>3000</v>
      </c>
      <c r="Q203" s="1091">
        <v>0</v>
      </c>
      <c r="R203" s="1091">
        <f>R206</f>
        <v>3000</v>
      </c>
      <c r="S203" s="1091">
        <v>0</v>
      </c>
      <c r="T203" s="841">
        <f>SUM(T204,T206)</f>
        <v>3000</v>
      </c>
      <c r="U203" s="841">
        <v>0</v>
      </c>
      <c r="V203" s="1091">
        <f>V204+V205+V206</f>
        <v>3522.44</v>
      </c>
      <c r="W203" s="843">
        <f>V203/T203*100</f>
        <v>117.41466666666666</v>
      </c>
    </row>
    <row r="204" spans="1:23" ht="12.75">
      <c r="A204" s="45">
        <v>633</v>
      </c>
      <c r="B204" s="46"/>
      <c r="C204" s="36" t="s">
        <v>172</v>
      </c>
      <c r="D204" s="62">
        <v>3000</v>
      </c>
      <c r="E204" s="62">
        <v>0</v>
      </c>
      <c r="F204" s="62"/>
      <c r="G204" s="62">
        <v>0</v>
      </c>
      <c r="H204" s="92"/>
      <c r="I204" s="236">
        <v>0</v>
      </c>
      <c r="J204" s="1099"/>
      <c r="K204" s="222">
        <f>SUM(K205)</f>
        <v>0</v>
      </c>
      <c r="L204" s="257">
        <v>0</v>
      </c>
      <c r="M204" s="257">
        <v>2000</v>
      </c>
      <c r="N204" s="236">
        <v>0</v>
      </c>
      <c r="O204" s="222"/>
      <c r="P204" s="257">
        <v>2000</v>
      </c>
      <c r="Q204" s="1100">
        <v>0</v>
      </c>
      <c r="R204" s="1100">
        <v>0</v>
      </c>
      <c r="S204" s="1100"/>
      <c r="T204" s="186">
        <v>0</v>
      </c>
      <c r="U204" s="279"/>
      <c r="V204" s="1100"/>
      <c r="W204" s="61"/>
    </row>
    <row r="205" spans="1:23" s="33" customFormat="1" ht="12.75">
      <c r="A205" s="45">
        <v>633</v>
      </c>
      <c r="B205" s="46" t="s">
        <v>73</v>
      </c>
      <c r="C205" s="36" t="s">
        <v>330</v>
      </c>
      <c r="D205" s="281">
        <v>3000</v>
      </c>
      <c r="E205" s="281">
        <v>0</v>
      </c>
      <c r="F205" s="281"/>
      <c r="G205" s="281">
        <v>0</v>
      </c>
      <c r="H205" s="1038"/>
      <c r="I205" s="1101">
        <v>0</v>
      </c>
      <c r="J205" s="1102"/>
      <c r="K205" s="276">
        <v>0</v>
      </c>
      <c r="L205" s="47">
        <v>0</v>
      </c>
      <c r="M205" s="47">
        <v>0</v>
      </c>
      <c r="N205" s="1101">
        <v>0</v>
      </c>
      <c r="O205" s="131"/>
      <c r="P205" s="47">
        <v>0</v>
      </c>
      <c r="Q205" s="1093">
        <v>0</v>
      </c>
      <c r="R205" s="1093">
        <v>0</v>
      </c>
      <c r="S205" s="1093"/>
      <c r="T205" s="186">
        <v>0</v>
      </c>
      <c r="U205" s="186"/>
      <c r="V205" s="1093"/>
      <c r="W205" s="169"/>
    </row>
    <row r="206" spans="1:23" s="33" customFormat="1" ht="12.75">
      <c r="A206" s="34">
        <v>635</v>
      </c>
      <c r="B206" s="46"/>
      <c r="C206" s="35" t="s">
        <v>272</v>
      </c>
      <c r="D206" s="173">
        <v>3000</v>
      </c>
      <c r="E206" s="62">
        <v>0</v>
      </c>
      <c r="F206" s="173"/>
      <c r="G206" s="62">
        <v>716</v>
      </c>
      <c r="H206" s="92"/>
      <c r="I206" s="236">
        <v>1002</v>
      </c>
      <c r="J206" s="1086"/>
      <c r="K206" s="255">
        <v>1000</v>
      </c>
      <c r="L206" s="1103">
        <v>3431</v>
      </c>
      <c r="M206" s="1103">
        <v>1000</v>
      </c>
      <c r="N206" s="236">
        <v>0</v>
      </c>
      <c r="O206" s="1104"/>
      <c r="P206" s="1103">
        <v>1000</v>
      </c>
      <c r="Q206" s="1105">
        <v>0</v>
      </c>
      <c r="R206" s="1105">
        <v>3000</v>
      </c>
      <c r="S206" s="1105"/>
      <c r="T206" s="186">
        <v>3000</v>
      </c>
      <c r="U206" s="1106"/>
      <c r="V206" s="1105">
        <v>3522.44</v>
      </c>
      <c r="W206" s="169"/>
    </row>
    <row r="207" spans="1:22" s="33" customFormat="1" ht="12.75">
      <c r="A207" s="1068"/>
      <c r="B207" s="1069"/>
      <c r="C207" s="1107"/>
      <c r="D207" s="119"/>
      <c r="E207" s="75"/>
      <c r="F207" s="119"/>
      <c r="G207" s="75"/>
      <c r="H207" s="990"/>
      <c r="I207" s="75"/>
      <c r="J207" s="1"/>
      <c r="K207" s="1"/>
      <c r="L207" s="1"/>
      <c r="M207" s="1"/>
      <c r="N207" s="75"/>
      <c r="O207" s="1"/>
      <c r="P207" s="1"/>
      <c r="Q207" s="120"/>
      <c r="R207" s="120"/>
      <c r="S207" s="120"/>
      <c r="T207" s="79"/>
      <c r="U207" s="1"/>
      <c r="V207" s="120"/>
    </row>
    <row r="208" spans="1:23" s="289" customFormat="1" ht="11.25">
      <c r="A208" s="834" t="s">
        <v>549</v>
      </c>
      <c r="B208" s="1087"/>
      <c r="C208" s="1087"/>
      <c r="D208" s="83">
        <v>0</v>
      </c>
      <c r="E208" s="83">
        <v>0</v>
      </c>
      <c r="F208" s="84">
        <v>0</v>
      </c>
      <c r="G208" s="83">
        <v>0</v>
      </c>
      <c r="H208" s="86">
        <v>0</v>
      </c>
      <c r="I208" s="837">
        <v>0</v>
      </c>
      <c r="J208" s="1089">
        <v>0</v>
      </c>
      <c r="K208" s="1090">
        <f>SUM(K209)</f>
        <v>0</v>
      </c>
      <c r="L208" s="1090">
        <f>SUM(L209)</f>
        <v>0</v>
      </c>
      <c r="M208" s="1090">
        <f>SUM(M209)</f>
        <v>0</v>
      </c>
      <c r="N208" s="837">
        <v>0</v>
      </c>
      <c r="O208" s="1090">
        <v>0</v>
      </c>
      <c r="P208" s="1090">
        <f>SUM(P209)</f>
        <v>0</v>
      </c>
      <c r="Q208" s="1091">
        <v>0</v>
      </c>
      <c r="R208" s="1091">
        <v>0</v>
      </c>
      <c r="S208" s="1091">
        <v>0</v>
      </c>
      <c r="T208" s="841">
        <f>SUM(T209)</f>
        <v>0</v>
      </c>
      <c r="U208" s="1091">
        <v>0</v>
      </c>
      <c r="V208" s="1091">
        <v>0</v>
      </c>
      <c r="W208" s="1092">
        <v>0</v>
      </c>
    </row>
    <row r="209" spans="1:23" ht="12.75">
      <c r="A209" s="45">
        <v>637</v>
      </c>
      <c r="B209" s="46"/>
      <c r="C209" s="36" t="s">
        <v>180</v>
      </c>
      <c r="D209" s="255">
        <v>0</v>
      </c>
      <c r="E209" s="255">
        <v>0</v>
      </c>
      <c r="F209" s="255"/>
      <c r="G209" s="255">
        <v>0</v>
      </c>
      <c r="H209" s="1084"/>
      <c r="I209" s="1108">
        <v>0</v>
      </c>
      <c r="J209" s="299"/>
      <c r="K209" s="131">
        <f>SUM(K210)</f>
        <v>0</v>
      </c>
      <c r="L209" s="47">
        <v>0</v>
      </c>
      <c r="M209" s="47">
        <v>0</v>
      </c>
      <c r="N209" s="1108">
        <v>0</v>
      </c>
      <c r="O209" s="47"/>
      <c r="P209" s="47">
        <v>0</v>
      </c>
      <c r="Q209" s="1093">
        <v>0</v>
      </c>
      <c r="R209" s="1093">
        <v>0</v>
      </c>
      <c r="S209" s="1093"/>
      <c r="T209" s="186">
        <v>0</v>
      </c>
      <c r="U209" s="131"/>
      <c r="V209" s="1093"/>
      <c r="W209" s="61"/>
    </row>
    <row r="210" spans="1:23" ht="12.75">
      <c r="A210" s="45">
        <v>637</v>
      </c>
      <c r="B210" s="46" t="s">
        <v>68</v>
      </c>
      <c r="C210" s="35" t="s">
        <v>533</v>
      </c>
      <c r="D210" s="1094">
        <v>0</v>
      </c>
      <c r="E210" s="276">
        <v>0</v>
      </c>
      <c r="F210" s="1094"/>
      <c r="G210" s="276">
        <v>0</v>
      </c>
      <c r="H210" s="92"/>
      <c r="I210" s="1095">
        <v>0</v>
      </c>
      <c r="J210" s="1109"/>
      <c r="K210" s="1110">
        <v>0</v>
      </c>
      <c r="L210" s="1111">
        <v>0</v>
      </c>
      <c r="M210" s="1111">
        <v>0</v>
      </c>
      <c r="N210" s="1095">
        <v>0</v>
      </c>
      <c r="O210" s="1111"/>
      <c r="P210" s="1111">
        <v>0</v>
      </c>
      <c r="Q210" s="1112">
        <v>0</v>
      </c>
      <c r="R210" s="1112">
        <v>0</v>
      </c>
      <c r="S210" s="1112"/>
      <c r="T210" s="186">
        <v>0</v>
      </c>
      <c r="U210" s="131"/>
      <c r="V210" s="1112"/>
      <c r="W210" s="61"/>
    </row>
    <row r="211" spans="1:23" ht="12.75">
      <c r="A211" s="997" t="s">
        <v>550</v>
      </c>
      <c r="B211" s="998"/>
      <c r="C211" s="999" t="s">
        <v>551</v>
      </c>
      <c r="D211" s="266">
        <f>D173+D189+D199+D203+D208</f>
        <v>97300</v>
      </c>
      <c r="E211" s="266">
        <v>26669</v>
      </c>
      <c r="F211" s="1113">
        <v>27.41</v>
      </c>
      <c r="G211" s="266">
        <v>53779</v>
      </c>
      <c r="H211" s="1114">
        <v>55.27</v>
      </c>
      <c r="I211" s="1115">
        <f>I173+I189+I199+I203+I208</f>
        <v>80703</v>
      </c>
      <c r="J211" s="1116">
        <v>82.94</v>
      </c>
      <c r="K211" s="225">
        <f>SUM(K173,K189,K199,K203,K208)</f>
        <v>96175</v>
      </c>
      <c r="L211" s="225">
        <f>SUM(L173,L189,L199,L203,L208)</f>
        <v>113113</v>
      </c>
      <c r="M211" s="225">
        <f>SUM(M173,M189,M199,M203,M208)</f>
        <v>79920</v>
      </c>
      <c r="N211" s="1115">
        <f>N173+N189+N199+N203+N208:O208</f>
        <v>28109.380000000005</v>
      </c>
      <c r="O211" s="1117">
        <f>O173+O189</f>
        <v>2550</v>
      </c>
      <c r="P211" s="225">
        <f>SUM(P173,P189,P199,P203,P208)</f>
        <v>82470</v>
      </c>
      <c r="Q211" s="1118">
        <f>Q173+Q189+Q199+Q203+Q208</f>
        <v>52175.93000000001</v>
      </c>
      <c r="R211" s="1118">
        <f>R173+R189+R199+R203+R208</f>
        <v>82470</v>
      </c>
      <c r="S211" s="1118">
        <f>S173+S189</f>
        <v>76182.55</v>
      </c>
      <c r="T211" s="226">
        <f>SUM(T173,T189,T199,T203,T208)</f>
        <v>105169</v>
      </c>
      <c r="U211" s="1053">
        <f>U173+U189+U199+U203+U208</f>
        <v>22699</v>
      </c>
      <c r="V211" s="226">
        <f>V173+V189+V199+V203+V208</f>
        <v>102457.75</v>
      </c>
      <c r="W211" s="1006">
        <f>V211/T211*100</f>
        <v>97.42200648480065</v>
      </c>
    </row>
    <row r="212" spans="1:22" ht="12.75">
      <c r="A212" s="1021"/>
      <c r="B212" s="110"/>
      <c r="C212" s="286"/>
      <c r="D212" s="287"/>
      <c r="E212" s="287"/>
      <c r="F212" s="287"/>
      <c r="G212" s="287"/>
      <c r="H212" s="1022"/>
      <c r="I212" s="28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V212" s="5"/>
    </row>
    <row r="213" spans="1:22" ht="12.75">
      <c r="A213" s="1021"/>
      <c r="B213" s="110"/>
      <c r="C213" s="286"/>
      <c r="D213" s="287"/>
      <c r="E213" s="287"/>
      <c r="F213" s="287"/>
      <c r="G213" s="287"/>
      <c r="H213" s="1022"/>
      <c r="I213" s="28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V213" s="5"/>
    </row>
    <row r="214" spans="1:22" ht="12.75" hidden="1">
      <c r="A214" s="1021"/>
      <c r="B214" s="110"/>
      <c r="C214" s="286"/>
      <c r="D214" s="287"/>
      <c r="E214" s="287"/>
      <c r="F214" s="287"/>
      <c r="G214" s="287"/>
      <c r="H214" s="1022"/>
      <c r="I214" s="28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V214" s="5"/>
    </row>
    <row r="215" spans="1:22" ht="12.75" hidden="1">
      <c r="A215" s="1021"/>
      <c r="B215" s="110"/>
      <c r="C215" s="286"/>
      <c r="D215" s="287"/>
      <c r="E215" s="287"/>
      <c r="F215" s="287"/>
      <c r="G215" s="287"/>
      <c r="H215" s="1022"/>
      <c r="I215" s="28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V215" s="5"/>
    </row>
    <row r="216" spans="1:22" ht="12.75" hidden="1">
      <c r="A216" s="1021"/>
      <c r="B216" s="110"/>
      <c r="C216" s="286"/>
      <c r="D216" s="287"/>
      <c r="E216" s="287"/>
      <c r="F216" s="287"/>
      <c r="G216" s="287"/>
      <c r="H216" s="1022"/>
      <c r="I216" s="28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V216" s="5"/>
    </row>
    <row r="217" spans="1:22" ht="12.75">
      <c r="A217" s="1021"/>
      <c r="B217" s="110"/>
      <c r="C217" s="286"/>
      <c r="D217" s="287"/>
      <c r="E217" s="287"/>
      <c r="F217" s="287"/>
      <c r="G217" s="287"/>
      <c r="H217" s="1022"/>
      <c r="I217" s="28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V217" s="5"/>
    </row>
    <row r="218" spans="1:22" ht="12.75">
      <c r="A218" s="1021"/>
      <c r="B218" s="110"/>
      <c r="C218" s="286"/>
      <c r="D218" s="287"/>
      <c r="E218" s="287"/>
      <c r="F218" s="287"/>
      <c r="G218" s="287"/>
      <c r="H218" s="1022"/>
      <c r="I218" s="28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V218" s="5"/>
    </row>
    <row r="219" spans="1:22" ht="12.75">
      <c r="A219" s="1021"/>
      <c r="B219" s="110"/>
      <c r="C219" s="286"/>
      <c r="D219" s="287"/>
      <c r="E219" s="287"/>
      <c r="F219" s="287"/>
      <c r="G219" s="287"/>
      <c r="H219" s="1022"/>
      <c r="I219" s="28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V219" s="5"/>
    </row>
    <row r="220" spans="1:22" ht="12.75">
      <c r="A220" s="1021"/>
      <c r="B220" s="110"/>
      <c r="C220" s="286"/>
      <c r="D220" s="287"/>
      <c r="E220" s="287"/>
      <c r="F220" s="287"/>
      <c r="G220" s="287"/>
      <c r="H220" s="1022"/>
      <c r="I220" s="28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V220" s="5"/>
    </row>
    <row r="221" spans="1:22" ht="12.75">
      <c r="A221" s="1021"/>
      <c r="B221" s="110"/>
      <c r="C221" s="286"/>
      <c r="D221" s="287"/>
      <c r="E221" s="287"/>
      <c r="F221" s="287"/>
      <c r="G221" s="287"/>
      <c r="H221" s="1022"/>
      <c r="I221" s="28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V221" s="5"/>
    </row>
    <row r="222" spans="1:22" ht="12.75">
      <c r="A222" s="1021"/>
      <c r="B222" s="110"/>
      <c r="C222" s="286"/>
      <c r="D222" s="287"/>
      <c r="E222" s="287"/>
      <c r="F222" s="287"/>
      <c r="G222" s="287"/>
      <c r="H222" s="1022"/>
      <c r="I222" s="28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V222" s="5"/>
    </row>
    <row r="223" spans="1:22" ht="12.75">
      <c r="A223" s="1021"/>
      <c r="B223" s="110"/>
      <c r="C223" s="286"/>
      <c r="D223" s="287"/>
      <c r="E223" s="287"/>
      <c r="F223" s="287"/>
      <c r="G223" s="287"/>
      <c r="H223" s="1022"/>
      <c r="I223" s="28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V223" s="5"/>
    </row>
    <row r="224" spans="1:22" ht="12.75">
      <c r="A224" s="1021"/>
      <c r="B224" s="110"/>
      <c r="C224" s="286"/>
      <c r="D224" s="287"/>
      <c r="E224" s="287"/>
      <c r="F224" s="287"/>
      <c r="G224" s="287"/>
      <c r="H224" s="1022"/>
      <c r="I224" s="28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V224" s="5"/>
    </row>
    <row r="225" spans="1:22" ht="12.75">
      <c r="A225" s="1021"/>
      <c r="B225" s="110"/>
      <c r="C225" s="286"/>
      <c r="D225" s="287"/>
      <c r="E225" s="287"/>
      <c r="F225" s="287"/>
      <c r="G225" s="287"/>
      <c r="H225" s="1022"/>
      <c r="I225" s="28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V225" s="5"/>
    </row>
    <row r="226" spans="1:22" ht="12.75" hidden="1">
      <c r="A226" s="1021"/>
      <c r="B226" s="110"/>
      <c r="C226" s="286"/>
      <c r="D226" s="287"/>
      <c r="E226" s="287"/>
      <c r="F226" s="287"/>
      <c r="G226" s="287"/>
      <c r="H226" s="1022"/>
      <c r="I226" s="28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V226" s="5"/>
    </row>
    <row r="227" spans="1:22" ht="12.75" hidden="1">
      <c r="A227" s="1021"/>
      <c r="B227" s="110"/>
      <c r="C227" s="286"/>
      <c r="D227" s="287"/>
      <c r="E227" s="287"/>
      <c r="F227" s="287"/>
      <c r="G227" s="287"/>
      <c r="H227" s="1022"/>
      <c r="I227" s="28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V227" s="5"/>
    </row>
    <row r="228" spans="1:22" ht="12.75" hidden="1">
      <c r="A228" s="1021"/>
      <c r="B228" s="110"/>
      <c r="C228" s="286"/>
      <c r="D228" s="287"/>
      <c r="E228" s="287"/>
      <c r="F228" s="287"/>
      <c r="G228" s="287"/>
      <c r="H228" s="1022"/>
      <c r="I228" s="28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V228" s="5"/>
    </row>
    <row r="229" spans="1:22" ht="12.75" hidden="1">
      <c r="A229" s="1021"/>
      <c r="B229" s="110"/>
      <c r="C229" s="286"/>
      <c r="D229" s="287"/>
      <c r="E229" s="287"/>
      <c r="F229" s="287"/>
      <c r="G229" s="287"/>
      <c r="H229" s="1022"/>
      <c r="I229" s="28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V229" s="5"/>
    </row>
    <row r="230" spans="1:22" ht="12.75" hidden="1">
      <c r="A230" s="1021"/>
      <c r="B230" s="110"/>
      <c r="C230" s="286"/>
      <c r="D230" s="287"/>
      <c r="E230" s="287"/>
      <c r="F230" s="287"/>
      <c r="G230" s="287"/>
      <c r="H230" s="1022"/>
      <c r="I230" s="28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V230" s="5"/>
    </row>
    <row r="231" spans="1:22" ht="12.75" hidden="1">
      <c r="A231" s="1021"/>
      <c r="B231" s="110"/>
      <c r="C231" s="286"/>
      <c r="D231" s="287"/>
      <c r="E231" s="287"/>
      <c r="F231" s="287"/>
      <c r="G231" s="287"/>
      <c r="H231" s="1022"/>
      <c r="I231" s="28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V231" s="5"/>
    </row>
    <row r="232" spans="1:22" ht="12.75">
      <c r="A232" s="1021"/>
      <c r="B232" s="110"/>
      <c r="C232" s="286"/>
      <c r="D232" s="287"/>
      <c r="E232" s="287"/>
      <c r="F232" s="287"/>
      <c r="G232" s="287"/>
      <c r="H232" s="1022"/>
      <c r="I232" s="287"/>
      <c r="J232" s="1596" t="s">
        <v>552</v>
      </c>
      <c r="K232" s="1596"/>
      <c r="L232" s="1596"/>
      <c r="M232" s="1596"/>
      <c r="N232" s="1596"/>
      <c r="O232" s="1596"/>
      <c r="P232" s="1596"/>
      <c r="Q232" s="1596"/>
      <c r="R232" s="1596"/>
      <c r="S232" s="1596"/>
      <c r="T232" s="1596"/>
      <c r="U232" s="1596"/>
      <c r="V232" s="1596"/>
    </row>
    <row r="233" spans="1:22" ht="12.75">
      <c r="A233" s="1021"/>
      <c r="B233" s="110"/>
      <c r="C233" s="286"/>
      <c r="D233" s="287"/>
      <c r="E233" s="287"/>
      <c r="F233" s="287"/>
      <c r="G233" s="287"/>
      <c r="H233" s="1022"/>
      <c r="I233" s="28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V233" s="5"/>
    </row>
    <row r="234" spans="1:23" s="1024" customFormat="1" ht="39.75" customHeight="1">
      <c r="A234" s="822" t="s">
        <v>414</v>
      </c>
      <c r="B234" s="823"/>
      <c r="C234" s="824"/>
      <c r="D234" s="1010" t="s">
        <v>13</v>
      </c>
      <c r="E234" s="1010" t="s">
        <v>14</v>
      </c>
      <c r="F234" s="827" t="s">
        <v>15</v>
      </c>
      <c r="G234" s="1010" t="s">
        <v>16</v>
      </c>
      <c r="H234" s="827" t="s">
        <v>15</v>
      </c>
      <c r="I234" s="1010" t="s">
        <v>17</v>
      </c>
      <c r="J234" s="827" t="s">
        <v>15</v>
      </c>
      <c r="K234" s="828" t="s">
        <v>20</v>
      </c>
      <c r="L234" s="829" t="s">
        <v>18</v>
      </c>
      <c r="M234" s="830">
        <v>2012</v>
      </c>
      <c r="N234" s="1062" t="s">
        <v>537</v>
      </c>
      <c r="O234" s="828" t="s">
        <v>20</v>
      </c>
      <c r="P234" s="828" t="s">
        <v>21</v>
      </c>
      <c r="Q234" s="21" t="s">
        <v>22</v>
      </c>
      <c r="R234" s="21" t="s">
        <v>436</v>
      </c>
      <c r="S234" s="21" t="s">
        <v>23</v>
      </c>
      <c r="T234" s="20" t="s">
        <v>24</v>
      </c>
      <c r="U234" s="19" t="s">
        <v>437</v>
      </c>
      <c r="V234" s="22" t="s">
        <v>26</v>
      </c>
      <c r="W234" s="827" t="s">
        <v>15</v>
      </c>
    </row>
    <row r="235" spans="1:23" s="289" customFormat="1" ht="11.25">
      <c r="A235" s="834" t="s">
        <v>553</v>
      </c>
      <c r="B235" s="1087"/>
      <c r="C235" s="1087"/>
      <c r="D235" s="83">
        <f>D236+D237+D240+D241+D242</f>
        <v>60500</v>
      </c>
      <c r="E235" s="83">
        <f>E236+E237+E240+E241+E242</f>
        <v>35177</v>
      </c>
      <c r="F235" s="84">
        <v>58.14</v>
      </c>
      <c r="G235" s="83">
        <f>G236+G237+G240+G241+G242+G243</f>
        <v>46569</v>
      </c>
      <c r="H235" s="86">
        <v>76.97</v>
      </c>
      <c r="I235" s="83">
        <f>I236+I237+I240+I241+I242+I243</f>
        <v>52834</v>
      </c>
      <c r="J235" s="984">
        <v>87.33</v>
      </c>
      <c r="K235" s="982">
        <f>SUM(K236,K237,K240,K241,K242)</f>
        <v>60000</v>
      </c>
      <c r="L235" s="982">
        <f>SUM(L236,L237,L240,L241,L242)</f>
        <v>82027</v>
      </c>
      <c r="M235" s="982">
        <f>SUM(M236,M237,M240,M241,M242)</f>
        <v>72000</v>
      </c>
      <c r="N235" s="83">
        <f>N236+N237+N240+N241+N242</f>
        <v>20856.81</v>
      </c>
      <c r="O235" s="982">
        <v>0</v>
      </c>
      <c r="P235" s="982">
        <f>SUM(P236,P237,P240,P241,P242)</f>
        <v>72000</v>
      </c>
      <c r="Q235" s="983">
        <f>SUM(Q236:Q243)</f>
        <v>37889.29</v>
      </c>
      <c r="R235" s="983">
        <f>R242</f>
        <v>72000</v>
      </c>
      <c r="S235" s="983">
        <f>S242</f>
        <v>54932.23</v>
      </c>
      <c r="T235" s="983">
        <f>SUM(T236,T237,T240,T241,T242)</f>
        <v>72000</v>
      </c>
      <c r="U235" s="983">
        <v>0</v>
      </c>
      <c r="V235" s="983">
        <f>V242</f>
        <v>72621.37</v>
      </c>
      <c r="W235" s="843">
        <f>V235/T235*100</f>
        <v>100.86301388888887</v>
      </c>
    </row>
    <row r="236" spans="1:23" s="5" customFormat="1" ht="12.75">
      <c r="A236" s="45">
        <v>633</v>
      </c>
      <c r="B236" s="46"/>
      <c r="C236" s="35" t="s">
        <v>172</v>
      </c>
      <c r="D236" s="173">
        <v>0</v>
      </c>
      <c r="E236" s="62">
        <v>0</v>
      </c>
      <c r="F236" s="173"/>
      <c r="G236" s="62">
        <v>0</v>
      </c>
      <c r="H236" s="92"/>
      <c r="I236" s="62">
        <v>0</v>
      </c>
      <c r="J236" s="61"/>
      <c r="K236" s="131">
        <v>0</v>
      </c>
      <c r="L236" s="131">
        <v>0</v>
      </c>
      <c r="M236" s="131">
        <v>0</v>
      </c>
      <c r="N236" s="62"/>
      <c r="O236" s="131"/>
      <c r="P236" s="131">
        <v>0</v>
      </c>
      <c r="Q236" s="131">
        <v>0</v>
      </c>
      <c r="R236" s="988">
        <v>0</v>
      </c>
      <c r="S236" s="131"/>
      <c r="T236" s="186">
        <v>0</v>
      </c>
      <c r="U236" s="131"/>
      <c r="V236" s="131"/>
      <c r="W236" s="44"/>
    </row>
    <row r="237" spans="1:23" s="33" customFormat="1" ht="12.75">
      <c r="A237" s="45">
        <v>634</v>
      </c>
      <c r="B237" s="46"/>
      <c r="C237" s="35" t="s">
        <v>174</v>
      </c>
      <c r="D237" s="173">
        <v>0</v>
      </c>
      <c r="E237" s="62">
        <v>0</v>
      </c>
      <c r="F237" s="173"/>
      <c r="G237" s="62">
        <v>0</v>
      </c>
      <c r="H237" s="92"/>
      <c r="I237" s="62">
        <v>0</v>
      </c>
      <c r="J237" s="61"/>
      <c r="K237" s="131">
        <f>SUM(K238,K239)</f>
        <v>0</v>
      </c>
      <c r="L237" s="131">
        <f>SUM(L238,L239)</f>
        <v>0</v>
      </c>
      <c r="M237" s="131">
        <f>SUM(M238,M239)</f>
        <v>0</v>
      </c>
      <c r="N237" s="62"/>
      <c r="O237" s="131"/>
      <c r="P237" s="131">
        <f>SUM(P238,P239)</f>
        <v>0</v>
      </c>
      <c r="Q237" s="131">
        <v>0</v>
      </c>
      <c r="R237" s="988">
        <v>0</v>
      </c>
      <c r="S237" s="131"/>
      <c r="T237" s="186">
        <f>SUM(T238,T239)</f>
        <v>0</v>
      </c>
      <c r="U237" s="131"/>
      <c r="V237" s="131"/>
      <c r="W237" s="169"/>
    </row>
    <row r="238" spans="1:23" ht="12.75">
      <c r="A238" s="45">
        <v>634</v>
      </c>
      <c r="B238" s="46" t="s">
        <v>31</v>
      </c>
      <c r="C238" s="35" t="s">
        <v>554</v>
      </c>
      <c r="D238" s="973">
        <v>0</v>
      </c>
      <c r="E238" s="276">
        <v>0</v>
      </c>
      <c r="F238" s="973"/>
      <c r="G238" s="276">
        <v>0</v>
      </c>
      <c r="H238" s="92"/>
      <c r="I238" s="276">
        <v>0</v>
      </c>
      <c r="J238" s="61"/>
      <c r="K238" s="253">
        <v>0</v>
      </c>
      <c r="L238" s="131">
        <v>0</v>
      </c>
      <c r="M238" s="131">
        <v>0</v>
      </c>
      <c r="N238" s="276"/>
      <c r="O238" s="131"/>
      <c r="P238" s="131">
        <v>0</v>
      </c>
      <c r="Q238" s="131">
        <v>0</v>
      </c>
      <c r="R238" s="988">
        <v>0</v>
      </c>
      <c r="S238" s="131"/>
      <c r="T238" s="186">
        <v>0</v>
      </c>
      <c r="U238" s="131"/>
      <c r="V238" s="131"/>
      <c r="W238" s="94"/>
    </row>
    <row r="239" spans="1:23" ht="12.75">
      <c r="A239" s="45">
        <v>634</v>
      </c>
      <c r="B239" s="46" t="s">
        <v>34</v>
      </c>
      <c r="C239" s="35" t="s">
        <v>524</v>
      </c>
      <c r="D239" s="973">
        <v>0</v>
      </c>
      <c r="E239" s="276">
        <v>0</v>
      </c>
      <c r="F239" s="973"/>
      <c r="G239" s="276">
        <v>0</v>
      </c>
      <c r="H239" s="92"/>
      <c r="I239" s="276">
        <v>0</v>
      </c>
      <c r="J239" s="61"/>
      <c r="K239" s="253">
        <v>0</v>
      </c>
      <c r="L239" s="131">
        <v>0</v>
      </c>
      <c r="M239" s="131">
        <v>0</v>
      </c>
      <c r="N239" s="276"/>
      <c r="O239" s="131"/>
      <c r="P239" s="131">
        <v>0</v>
      </c>
      <c r="Q239" s="131">
        <v>0</v>
      </c>
      <c r="R239" s="988">
        <v>0</v>
      </c>
      <c r="S239" s="131"/>
      <c r="T239" s="186">
        <v>0</v>
      </c>
      <c r="U239" s="131"/>
      <c r="V239" s="131"/>
      <c r="W239" s="61"/>
    </row>
    <row r="240" spans="1:23" ht="12.75">
      <c r="A240" s="45">
        <v>635</v>
      </c>
      <c r="B240" s="46"/>
      <c r="C240" s="35" t="s">
        <v>272</v>
      </c>
      <c r="D240" s="173">
        <v>500</v>
      </c>
      <c r="E240" s="62">
        <v>0</v>
      </c>
      <c r="F240" s="173"/>
      <c r="G240" s="62">
        <v>0</v>
      </c>
      <c r="H240" s="92"/>
      <c r="I240" s="62">
        <v>0</v>
      </c>
      <c r="J240" s="61"/>
      <c r="K240" s="220">
        <v>0</v>
      </c>
      <c r="L240" s="131">
        <v>0</v>
      </c>
      <c r="M240" s="131">
        <v>0</v>
      </c>
      <c r="N240" s="62"/>
      <c r="O240" s="131"/>
      <c r="P240" s="131">
        <v>0</v>
      </c>
      <c r="Q240" s="131">
        <v>0</v>
      </c>
      <c r="R240" s="988">
        <v>0</v>
      </c>
      <c r="S240" s="131"/>
      <c r="T240" s="186">
        <v>0</v>
      </c>
      <c r="U240" s="131"/>
      <c r="V240" s="131"/>
      <c r="W240" s="61"/>
    </row>
    <row r="241" spans="1:23" ht="12.75">
      <c r="A241" s="45">
        <v>636</v>
      </c>
      <c r="B241" s="46"/>
      <c r="C241" s="35" t="s">
        <v>555</v>
      </c>
      <c r="D241" s="173">
        <v>0</v>
      </c>
      <c r="E241" s="62">
        <v>0</v>
      </c>
      <c r="F241" s="173"/>
      <c r="G241" s="62">
        <v>0</v>
      </c>
      <c r="H241" s="92"/>
      <c r="I241" s="62">
        <v>0</v>
      </c>
      <c r="J241" s="61"/>
      <c r="K241" s="131"/>
      <c r="L241" s="131">
        <v>0</v>
      </c>
      <c r="M241" s="131">
        <v>0</v>
      </c>
      <c r="N241" s="62"/>
      <c r="O241" s="131"/>
      <c r="P241" s="131">
        <v>0</v>
      </c>
      <c r="Q241" s="131">
        <v>0</v>
      </c>
      <c r="R241" s="988">
        <v>0</v>
      </c>
      <c r="S241" s="131"/>
      <c r="T241" s="186">
        <v>0</v>
      </c>
      <c r="U241" s="131"/>
      <c r="V241" s="131"/>
      <c r="W241" s="61"/>
    </row>
    <row r="242" spans="1:23" ht="12.75">
      <c r="A242" s="96">
        <v>637</v>
      </c>
      <c r="B242" s="145"/>
      <c r="C242" s="1119" t="s">
        <v>180</v>
      </c>
      <c r="D242" s="276">
        <v>60000</v>
      </c>
      <c r="E242" s="63">
        <v>35177</v>
      </c>
      <c r="F242" s="63"/>
      <c r="G242" s="63">
        <v>21379</v>
      </c>
      <c r="H242" s="92"/>
      <c r="I242" s="63">
        <v>27644</v>
      </c>
      <c r="J242" s="61"/>
      <c r="K242" s="62">
        <v>60000</v>
      </c>
      <c r="L242" s="131">
        <v>82027</v>
      </c>
      <c r="M242" s="131">
        <v>72000</v>
      </c>
      <c r="N242" s="63">
        <v>20856.81</v>
      </c>
      <c r="O242" s="131"/>
      <c r="P242" s="131">
        <v>72000</v>
      </c>
      <c r="Q242" s="131">
        <v>37889.29</v>
      </c>
      <c r="R242" s="988">
        <v>72000</v>
      </c>
      <c r="S242" s="131">
        <v>54932.23</v>
      </c>
      <c r="T242" s="186">
        <v>72000</v>
      </c>
      <c r="U242" s="1120"/>
      <c r="V242" s="131">
        <v>72621.37</v>
      </c>
      <c r="W242" s="61"/>
    </row>
    <row r="243" spans="1:23" ht="12.75">
      <c r="A243" s="45">
        <v>637</v>
      </c>
      <c r="B243" s="46"/>
      <c r="C243" s="35" t="s">
        <v>556</v>
      </c>
      <c r="D243" s="63"/>
      <c r="E243" s="63">
        <v>0</v>
      </c>
      <c r="F243" s="63"/>
      <c r="G243" s="63">
        <v>25190</v>
      </c>
      <c r="H243" s="92"/>
      <c r="I243" s="63">
        <v>25190</v>
      </c>
      <c r="J243" s="61"/>
      <c r="K243" s="62">
        <v>25190</v>
      </c>
      <c r="L243" s="954">
        <v>25190</v>
      </c>
      <c r="M243" s="131">
        <v>0</v>
      </c>
      <c r="N243" s="69"/>
      <c r="O243" s="131"/>
      <c r="P243" s="131">
        <v>0</v>
      </c>
      <c r="Q243" s="131">
        <v>0</v>
      </c>
      <c r="R243" s="988">
        <v>0</v>
      </c>
      <c r="S243" s="131"/>
      <c r="T243" s="186">
        <v>0</v>
      </c>
      <c r="U243" s="131"/>
      <c r="V243" s="131"/>
      <c r="W243" s="61"/>
    </row>
    <row r="244" spans="1:20" ht="12.75">
      <c r="A244" s="5"/>
      <c r="B244" s="5"/>
      <c r="C244" s="5"/>
      <c r="D244" s="182"/>
      <c r="E244" s="1121"/>
      <c r="F244" s="182"/>
      <c r="G244" s="1121"/>
      <c r="H244" s="1029"/>
      <c r="I244" s="1121"/>
      <c r="J244" s="5"/>
      <c r="N244" s="1121"/>
      <c r="T244" s="79"/>
    </row>
    <row r="245" spans="1:23" s="289" customFormat="1" ht="11.25">
      <c r="A245" s="834" t="s">
        <v>557</v>
      </c>
      <c r="B245" s="1087"/>
      <c r="C245" s="1087"/>
      <c r="D245" s="83">
        <f>D246+D247+D248+D249+D250+D255</f>
        <v>27800</v>
      </c>
      <c r="E245" s="83">
        <v>10202</v>
      </c>
      <c r="F245" s="84">
        <v>36.7</v>
      </c>
      <c r="G245" s="83">
        <v>13832</v>
      </c>
      <c r="H245" s="86">
        <v>49.78</v>
      </c>
      <c r="I245" s="83">
        <f>I246+I247+I248+I249+I250+I255</f>
        <v>18102</v>
      </c>
      <c r="J245" s="984">
        <v>65.12</v>
      </c>
      <c r="K245" s="982">
        <f>SUM(K246,K247,K248,K249,K250,K255)</f>
        <v>25500</v>
      </c>
      <c r="L245" s="982">
        <f>SUM(L246,L247,L248,L249,L250,L255)</f>
        <v>30158</v>
      </c>
      <c r="M245" s="982">
        <f>SUM(M246,M247,M248,M249,M250,M255)</f>
        <v>25000</v>
      </c>
      <c r="N245" s="83">
        <f>N246+N247+N248+N249+N250+N255</f>
        <v>4819.530000000001</v>
      </c>
      <c r="O245" s="982">
        <v>0</v>
      </c>
      <c r="P245" s="982">
        <f>SUM(P246,P247,P248,P249,P250,P255)</f>
        <v>25000</v>
      </c>
      <c r="Q245" s="983">
        <f>Q246+Q247+Q248+Q249+Q250+Q255</f>
        <v>10113.609999999999</v>
      </c>
      <c r="R245" s="983">
        <f>R246+R247+R248+R249+R250+R255</f>
        <v>25000</v>
      </c>
      <c r="S245" s="983">
        <f>S246+S247+S248+S250+S255</f>
        <v>17254.7</v>
      </c>
      <c r="T245" s="983">
        <f>SUM(T246,T247,T248,T249,T250,T255)</f>
        <v>25000</v>
      </c>
      <c r="U245" s="983">
        <f>U248-+U250</f>
        <v>0</v>
      </c>
      <c r="V245" s="983">
        <f>V246+V247+V248+V250+V255+V254</f>
        <v>22485.36</v>
      </c>
      <c r="W245" s="843">
        <f>V245/T245*100</f>
        <v>89.94144</v>
      </c>
    </row>
    <row r="246" spans="1:23" s="5" customFormat="1" ht="12.75">
      <c r="A246" s="34">
        <v>610</v>
      </c>
      <c r="B246" s="35"/>
      <c r="C246" s="35" t="s">
        <v>439</v>
      </c>
      <c r="D246" s="38">
        <v>5000</v>
      </c>
      <c r="E246" s="38">
        <v>1201</v>
      </c>
      <c r="F246" s="38"/>
      <c r="G246" s="38">
        <v>2316</v>
      </c>
      <c r="H246" s="53"/>
      <c r="I246" s="38">
        <v>3498</v>
      </c>
      <c r="J246" s="169"/>
      <c r="K246" s="62">
        <v>5000</v>
      </c>
      <c r="L246" s="131">
        <v>4801</v>
      </c>
      <c r="M246" s="131">
        <v>5000</v>
      </c>
      <c r="N246" s="38">
        <v>1187.48</v>
      </c>
      <c r="O246" s="131"/>
      <c r="P246" s="131">
        <v>5000</v>
      </c>
      <c r="Q246" s="131">
        <v>2373.68</v>
      </c>
      <c r="R246" s="988">
        <v>5000</v>
      </c>
      <c r="S246" s="131">
        <v>3568.84</v>
      </c>
      <c r="T246" s="186">
        <v>5000</v>
      </c>
      <c r="U246" s="131"/>
      <c r="V246" s="131">
        <v>4752.19</v>
      </c>
      <c r="W246" s="44"/>
    </row>
    <row r="247" spans="1:23" s="33" customFormat="1" ht="12.75">
      <c r="A247" s="34">
        <v>620</v>
      </c>
      <c r="B247" s="35"/>
      <c r="C247" s="35" t="s">
        <v>166</v>
      </c>
      <c r="D247" s="38">
        <v>1800</v>
      </c>
      <c r="E247" s="38">
        <v>442</v>
      </c>
      <c r="F247" s="38"/>
      <c r="G247" s="38">
        <v>736</v>
      </c>
      <c r="H247" s="53"/>
      <c r="I247" s="38">
        <v>1177</v>
      </c>
      <c r="J247" s="169"/>
      <c r="K247" s="62">
        <v>1500</v>
      </c>
      <c r="L247" s="131">
        <v>1724</v>
      </c>
      <c r="M247" s="131">
        <v>1500</v>
      </c>
      <c r="N247" s="38">
        <v>441.36</v>
      </c>
      <c r="O247" s="131"/>
      <c r="P247" s="131">
        <v>1500</v>
      </c>
      <c r="Q247" s="131">
        <v>882.72</v>
      </c>
      <c r="R247" s="988">
        <v>1500</v>
      </c>
      <c r="S247" s="131">
        <v>1324.08</v>
      </c>
      <c r="T247" s="186">
        <v>1500</v>
      </c>
      <c r="U247" s="131"/>
      <c r="V247" s="131">
        <v>1807.38</v>
      </c>
      <c r="W247" s="169"/>
    </row>
    <row r="248" spans="1:23" s="33" customFormat="1" ht="12.75">
      <c r="A248" s="1122">
        <v>632</v>
      </c>
      <c r="B248" s="1123"/>
      <c r="C248" s="1124" t="s">
        <v>170</v>
      </c>
      <c r="D248" s="38">
        <v>7000</v>
      </c>
      <c r="E248" s="38">
        <v>2523</v>
      </c>
      <c r="F248" s="38"/>
      <c r="G248" s="38">
        <v>3676</v>
      </c>
      <c r="H248" s="53"/>
      <c r="I248" s="38">
        <v>4486</v>
      </c>
      <c r="J248" s="169"/>
      <c r="K248" s="62">
        <v>7000</v>
      </c>
      <c r="L248" s="131">
        <v>5702</v>
      </c>
      <c r="M248" s="131">
        <v>7000</v>
      </c>
      <c r="N248" s="38">
        <v>1427.72</v>
      </c>
      <c r="O248" s="131"/>
      <c r="P248" s="131">
        <v>7000</v>
      </c>
      <c r="Q248" s="131">
        <v>2572.46</v>
      </c>
      <c r="R248" s="988">
        <v>7000</v>
      </c>
      <c r="S248" s="131">
        <v>3717.2</v>
      </c>
      <c r="T248" s="186">
        <v>5500</v>
      </c>
      <c r="U248" s="1125"/>
      <c r="V248" s="131">
        <v>4480.36</v>
      </c>
      <c r="W248" s="169"/>
    </row>
    <row r="249" spans="1:23" s="33" customFormat="1" ht="12.75">
      <c r="A249" s="34">
        <v>633</v>
      </c>
      <c r="B249" s="1126"/>
      <c r="C249" s="35" t="s">
        <v>172</v>
      </c>
      <c r="D249" s="38">
        <v>0</v>
      </c>
      <c r="E249" s="38">
        <v>0</v>
      </c>
      <c r="F249" s="38"/>
      <c r="G249" s="38">
        <v>0</v>
      </c>
      <c r="H249" s="53"/>
      <c r="I249" s="38">
        <v>0</v>
      </c>
      <c r="J249" s="169"/>
      <c r="K249" s="131">
        <v>0</v>
      </c>
      <c r="L249" s="131">
        <v>0</v>
      </c>
      <c r="M249" s="131">
        <v>0</v>
      </c>
      <c r="N249" s="38"/>
      <c r="O249" s="131"/>
      <c r="P249" s="131">
        <v>0</v>
      </c>
      <c r="Q249" s="131">
        <v>0</v>
      </c>
      <c r="R249" s="988">
        <v>0</v>
      </c>
      <c r="S249" s="131"/>
      <c r="T249" s="186">
        <v>0</v>
      </c>
      <c r="U249" s="131"/>
      <c r="V249" s="131"/>
      <c r="W249" s="169"/>
    </row>
    <row r="250" spans="1:23" s="33" customFormat="1" ht="12.75">
      <c r="A250" s="110">
        <v>634</v>
      </c>
      <c r="B250" s="1127"/>
      <c r="C250" s="110" t="s">
        <v>558</v>
      </c>
      <c r="D250" s="38">
        <v>8000</v>
      </c>
      <c r="E250" s="38">
        <v>2273</v>
      </c>
      <c r="F250" s="38"/>
      <c r="G250" s="38">
        <v>3221</v>
      </c>
      <c r="H250" s="53"/>
      <c r="I250" s="38">
        <v>5050</v>
      </c>
      <c r="J250" s="169"/>
      <c r="K250" s="62">
        <v>7000</v>
      </c>
      <c r="L250" s="131">
        <v>10346</v>
      </c>
      <c r="M250" s="131">
        <v>8000</v>
      </c>
      <c r="N250" s="38">
        <v>1761.41</v>
      </c>
      <c r="O250" s="131"/>
      <c r="P250" s="131">
        <v>8000</v>
      </c>
      <c r="Q250" s="131">
        <v>4283.19</v>
      </c>
      <c r="R250" s="988">
        <f>R251+R252</f>
        <v>8000</v>
      </c>
      <c r="S250" s="131">
        <f>S251+S252</f>
        <v>7371.86</v>
      </c>
      <c r="T250" s="186">
        <v>9500</v>
      </c>
      <c r="U250" s="1128"/>
      <c r="V250" s="131">
        <f>V251+V252+V253</f>
        <v>10120.51</v>
      </c>
      <c r="W250" s="169"/>
    </row>
    <row r="251" spans="1:23" s="33" customFormat="1" ht="12.75">
      <c r="A251" s="110">
        <v>634</v>
      </c>
      <c r="B251" s="1127" t="s">
        <v>31</v>
      </c>
      <c r="C251" s="110" t="s">
        <v>523</v>
      </c>
      <c r="D251" s="38"/>
      <c r="E251" s="38"/>
      <c r="F251" s="38"/>
      <c r="G251" s="38"/>
      <c r="H251" s="53"/>
      <c r="I251" s="38"/>
      <c r="J251" s="169"/>
      <c r="K251" s="62"/>
      <c r="L251" s="131"/>
      <c r="M251" s="131"/>
      <c r="N251" s="38"/>
      <c r="O251" s="131"/>
      <c r="P251" s="131"/>
      <c r="Q251" s="131"/>
      <c r="R251" s="1129">
        <v>2950</v>
      </c>
      <c r="S251" s="253">
        <v>2351.79</v>
      </c>
      <c r="T251" s="186"/>
      <c r="U251" s="131"/>
      <c r="V251" s="253">
        <v>2383.4</v>
      </c>
      <c r="W251" s="169"/>
    </row>
    <row r="252" spans="1:23" s="33" customFormat="1" ht="12.75">
      <c r="A252" s="110">
        <v>634</v>
      </c>
      <c r="B252" s="1127" t="s">
        <v>34</v>
      </c>
      <c r="C252" s="110" t="s">
        <v>559</v>
      </c>
      <c r="D252" s="38"/>
      <c r="E252" s="38"/>
      <c r="F252" s="38"/>
      <c r="G252" s="38"/>
      <c r="H252" s="53"/>
      <c r="I252" s="38"/>
      <c r="J252" s="169"/>
      <c r="K252" s="62"/>
      <c r="L252" s="131"/>
      <c r="M252" s="131"/>
      <c r="N252" s="38"/>
      <c r="O252" s="131"/>
      <c r="P252" s="131"/>
      <c r="Q252" s="131"/>
      <c r="R252" s="1129">
        <v>5050</v>
      </c>
      <c r="S252" s="253">
        <v>5020.07</v>
      </c>
      <c r="T252" s="186"/>
      <c r="U252" s="131"/>
      <c r="V252" s="253">
        <v>7673.95</v>
      </c>
      <c r="W252" s="169"/>
    </row>
    <row r="253" spans="1:23" s="33" customFormat="1" ht="12.75">
      <c r="A253" s="110">
        <v>634</v>
      </c>
      <c r="B253" s="1127" t="s">
        <v>28</v>
      </c>
      <c r="C253" s="110" t="s">
        <v>560</v>
      </c>
      <c r="D253" s="38"/>
      <c r="E253" s="38"/>
      <c r="F253" s="38"/>
      <c r="G253" s="38"/>
      <c r="H253" s="53"/>
      <c r="I253" s="38"/>
      <c r="J253" s="169"/>
      <c r="K253" s="62"/>
      <c r="L253" s="131"/>
      <c r="M253" s="131"/>
      <c r="N253" s="38"/>
      <c r="O253" s="131"/>
      <c r="P253" s="131"/>
      <c r="Q253" s="131"/>
      <c r="R253" s="1129"/>
      <c r="S253" s="253"/>
      <c r="T253" s="186"/>
      <c r="U253" s="131"/>
      <c r="V253" s="253">
        <v>63.16</v>
      </c>
      <c r="W253" s="169"/>
    </row>
    <row r="254" spans="1:23" s="33" customFormat="1" ht="12.75">
      <c r="A254" s="110">
        <v>635</v>
      </c>
      <c r="B254" s="1127"/>
      <c r="C254" s="110" t="s">
        <v>561</v>
      </c>
      <c r="D254" s="38"/>
      <c r="E254" s="38"/>
      <c r="F254" s="38"/>
      <c r="G254" s="38"/>
      <c r="H254" s="53"/>
      <c r="I254" s="38"/>
      <c r="J254" s="169"/>
      <c r="K254" s="62"/>
      <c r="L254" s="131"/>
      <c r="M254" s="131"/>
      <c r="N254" s="38"/>
      <c r="O254" s="131"/>
      <c r="P254" s="131"/>
      <c r="Q254" s="131"/>
      <c r="R254" s="1129"/>
      <c r="S254" s="253"/>
      <c r="T254" s="186"/>
      <c r="U254" s="131"/>
      <c r="V254" s="220">
        <v>53.76</v>
      </c>
      <c r="W254" s="169"/>
    </row>
    <row r="255" spans="1:23" s="33" customFormat="1" ht="12.75">
      <c r="A255" s="34">
        <v>637</v>
      </c>
      <c r="B255" s="46"/>
      <c r="C255" s="35" t="s">
        <v>180</v>
      </c>
      <c r="D255" s="62">
        <v>6000</v>
      </c>
      <c r="E255" s="62">
        <v>3763</v>
      </c>
      <c r="F255" s="62"/>
      <c r="G255" s="62">
        <v>3883</v>
      </c>
      <c r="H255" s="92"/>
      <c r="I255" s="62">
        <v>3891</v>
      </c>
      <c r="J255" s="61"/>
      <c r="K255" s="62">
        <v>5000</v>
      </c>
      <c r="L255" s="131">
        <v>7585</v>
      </c>
      <c r="M255" s="131">
        <v>3500</v>
      </c>
      <c r="N255" s="62">
        <v>1.56</v>
      </c>
      <c r="O255" s="131"/>
      <c r="P255" s="131">
        <v>3500</v>
      </c>
      <c r="Q255" s="131">
        <v>1.56</v>
      </c>
      <c r="R255" s="988">
        <v>3500</v>
      </c>
      <c r="S255" s="131">
        <v>1272.72</v>
      </c>
      <c r="T255" s="186">
        <v>3500</v>
      </c>
      <c r="U255" s="131"/>
      <c r="V255" s="131">
        <v>1271.16</v>
      </c>
      <c r="W255" s="169"/>
    </row>
    <row r="256" spans="1:22" s="33" customFormat="1" ht="12.75">
      <c r="A256" s="1068"/>
      <c r="B256" s="1069"/>
      <c r="C256" s="1070"/>
      <c r="D256" s="1130"/>
      <c r="E256" s="1130"/>
      <c r="F256" s="1130"/>
      <c r="G256" s="1130"/>
      <c r="H256" s="1131"/>
      <c r="I256" s="1130"/>
      <c r="J256" s="1"/>
      <c r="K256" s="1"/>
      <c r="L256" s="1"/>
      <c r="M256" s="1"/>
      <c r="N256" s="1132"/>
      <c r="O256" s="1"/>
      <c r="P256" s="1"/>
      <c r="Q256" s="1"/>
      <c r="R256" s="1"/>
      <c r="S256" s="1"/>
      <c r="T256" s="79"/>
      <c r="U256" s="1"/>
      <c r="V256" s="1"/>
    </row>
    <row r="257" spans="1:23" s="289" customFormat="1" ht="11.25">
      <c r="A257" s="834" t="s">
        <v>562</v>
      </c>
      <c r="B257" s="1087"/>
      <c r="C257" s="1088"/>
      <c r="D257" s="83">
        <f>D258</f>
        <v>450</v>
      </c>
      <c r="E257" s="83">
        <v>2466</v>
      </c>
      <c r="F257" s="83"/>
      <c r="G257" s="83">
        <v>2466</v>
      </c>
      <c r="H257" s="86"/>
      <c r="I257" s="837">
        <f>I258+I260</f>
        <v>66</v>
      </c>
      <c r="J257" s="838">
        <v>14.67</v>
      </c>
      <c r="K257" s="1090">
        <f>SUM(K258)</f>
        <v>66</v>
      </c>
      <c r="L257" s="1090">
        <f>SUM(L258)</f>
        <v>66</v>
      </c>
      <c r="M257" s="1090">
        <f>SUM(M258)</f>
        <v>66</v>
      </c>
      <c r="N257" s="837">
        <f>N258+N260</f>
        <v>0</v>
      </c>
      <c r="O257" s="984">
        <v>0</v>
      </c>
      <c r="P257" s="1090">
        <f>SUM(P258)</f>
        <v>66</v>
      </c>
      <c r="Q257" s="1091">
        <v>0</v>
      </c>
      <c r="R257" s="1091">
        <f>R258</f>
        <v>66</v>
      </c>
      <c r="S257" s="1091">
        <v>0</v>
      </c>
      <c r="T257" s="841">
        <f>SUM(T258)</f>
        <v>66</v>
      </c>
      <c r="U257" s="1091">
        <v>0</v>
      </c>
      <c r="V257" s="1091">
        <f>V258+V259+V260</f>
        <v>390</v>
      </c>
      <c r="W257" s="843">
        <f>V257/T257*100</f>
        <v>590.9090909090909</v>
      </c>
    </row>
    <row r="258" spans="1:23" ht="12.75">
      <c r="A258" s="45">
        <v>637</v>
      </c>
      <c r="B258" s="46"/>
      <c r="C258" s="36" t="s">
        <v>180</v>
      </c>
      <c r="D258" s="62">
        <v>450</v>
      </c>
      <c r="E258" s="62">
        <v>2466</v>
      </c>
      <c r="F258" s="62"/>
      <c r="G258" s="62">
        <v>2466</v>
      </c>
      <c r="H258" s="92"/>
      <c r="I258" s="236">
        <v>66</v>
      </c>
      <c r="J258" s="1133"/>
      <c r="K258" s="222">
        <v>66</v>
      </c>
      <c r="L258" s="131">
        <v>66</v>
      </c>
      <c r="M258" s="131">
        <v>66</v>
      </c>
      <c r="N258" s="236"/>
      <c r="O258" s="131"/>
      <c r="P258" s="131">
        <v>66</v>
      </c>
      <c r="Q258" s="988">
        <v>0</v>
      </c>
      <c r="R258" s="988">
        <v>66</v>
      </c>
      <c r="S258" s="988">
        <v>0</v>
      </c>
      <c r="T258" s="186">
        <v>66</v>
      </c>
      <c r="U258" s="131"/>
      <c r="V258" s="988">
        <v>0</v>
      </c>
      <c r="W258" s="61"/>
    </row>
    <row r="259" spans="1:23" ht="12.75">
      <c r="A259" s="45">
        <v>637</v>
      </c>
      <c r="B259" s="46" t="s">
        <v>68</v>
      </c>
      <c r="C259" s="35" t="s">
        <v>533</v>
      </c>
      <c r="D259" s="1094">
        <v>0</v>
      </c>
      <c r="E259" s="276">
        <v>2466</v>
      </c>
      <c r="F259" s="1094"/>
      <c r="G259" s="276">
        <v>2466</v>
      </c>
      <c r="H259" s="92"/>
      <c r="I259" s="1095">
        <v>0</v>
      </c>
      <c r="J259" s="299"/>
      <c r="K259" s="253">
        <v>66</v>
      </c>
      <c r="L259" s="1134">
        <v>66</v>
      </c>
      <c r="M259" s="131">
        <v>66</v>
      </c>
      <c r="N259" s="1135"/>
      <c r="O259" s="131"/>
      <c r="P259" s="253">
        <v>66</v>
      </c>
      <c r="Q259" s="988">
        <v>0</v>
      </c>
      <c r="R259" s="1129">
        <v>66</v>
      </c>
      <c r="S259" s="988">
        <v>0</v>
      </c>
      <c r="T259" s="186">
        <v>66</v>
      </c>
      <c r="U259" s="131"/>
      <c r="V259" s="988">
        <v>0</v>
      </c>
      <c r="W259" s="61"/>
    </row>
    <row r="260" spans="1:23" ht="12.75">
      <c r="A260" s="45">
        <v>635</v>
      </c>
      <c r="B260" s="46"/>
      <c r="C260" s="35" t="s">
        <v>563</v>
      </c>
      <c r="D260" s="1094">
        <v>0</v>
      </c>
      <c r="E260" s="276">
        <v>2466</v>
      </c>
      <c r="F260" s="1094"/>
      <c r="G260" s="276">
        <v>2466</v>
      </c>
      <c r="H260" s="92"/>
      <c r="I260" s="1095">
        <v>0</v>
      </c>
      <c r="J260" s="299"/>
      <c r="K260" s="253"/>
      <c r="L260" s="1134"/>
      <c r="M260" s="131"/>
      <c r="N260" s="1135"/>
      <c r="O260" s="131"/>
      <c r="P260" s="253"/>
      <c r="Q260" s="988"/>
      <c r="R260" s="1129"/>
      <c r="S260" s="988"/>
      <c r="T260" s="186"/>
      <c r="U260" s="131"/>
      <c r="V260" s="988">
        <v>390</v>
      </c>
      <c r="W260" s="61"/>
    </row>
    <row r="261" spans="1:23" ht="12.75">
      <c r="A261" s="997" t="s">
        <v>564</v>
      </c>
      <c r="B261" s="998"/>
      <c r="C261" s="999" t="s">
        <v>565</v>
      </c>
      <c r="D261" s="266">
        <f>D235+D245+D257</f>
        <v>88750</v>
      </c>
      <c r="E261" s="266">
        <v>47845</v>
      </c>
      <c r="F261" s="1113">
        <v>53.91</v>
      </c>
      <c r="G261" s="266">
        <v>62867</v>
      </c>
      <c r="H261" s="1114">
        <v>70.84</v>
      </c>
      <c r="I261" s="1115">
        <f>I235+I245+I257</f>
        <v>71002</v>
      </c>
      <c r="J261" s="1136">
        <v>80</v>
      </c>
      <c r="K261" s="1050">
        <f>SUM(K235,K245,K257)</f>
        <v>85566</v>
      </c>
      <c r="L261" s="1050">
        <f>SUM(L235,L245,L257)</f>
        <v>112251</v>
      </c>
      <c r="M261" s="1050">
        <f>SUM(M235,M245,M257)</f>
        <v>97066</v>
      </c>
      <c r="N261" s="1115">
        <f>N235+N245+N257</f>
        <v>25676.340000000004</v>
      </c>
      <c r="O261" s="1050">
        <v>0</v>
      </c>
      <c r="P261" s="1050">
        <f>SUM(P235,P245,P257)</f>
        <v>97066</v>
      </c>
      <c r="Q261" s="1017">
        <f>Q235+Q245+Q257</f>
        <v>48002.9</v>
      </c>
      <c r="R261" s="1017">
        <f>R257+R245+R235</f>
        <v>97066</v>
      </c>
      <c r="S261" s="1017">
        <f>S235+S245+S2293</f>
        <v>72186.93000000001</v>
      </c>
      <c r="T261" s="1052">
        <f>SUM(T235,T245,T257)</f>
        <v>97066</v>
      </c>
      <c r="U261" s="1052">
        <f>U235+U245+U257</f>
        <v>0</v>
      </c>
      <c r="V261" s="1052">
        <f>V235+V245+V257</f>
        <v>95496.73</v>
      </c>
      <c r="W261" s="1006">
        <f>V261/T261*100</f>
        <v>98.38329590175756</v>
      </c>
    </row>
    <row r="262" spans="1:22" ht="12.75">
      <c r="A262" s="1021"/>
      <c r="B262" s="110"/>
      <c r="C262" s="286"/>
      <c r="D262" s="287"/>
      <c r="E262" s="287"/>
      <c r="F262" s="287"/>
      <c r="G262" s="287"/>
      <c r="H262" s="1022"/>
      <c r="I262" s="287"/>
      <c r="J262" s="5"/>
      <c r="K262" s="5"/>
      <c r="L262" s="5"/>
      <c r="M262" s="5"/>
      <c r="N262" s="5"/>
      <c r="O262" s="5"/>
      <c r="P262" s="5"/>
      <c r="Q262" s="5"/>
      <c r="R262" s="5"/>
      <c r="S262" s="5">
        <v>0</v>
      </c>
      <c r="T262" s="5"/>
      <c r="V262" s="5"/>
    </row>
    <row r="263" spans="1:22" ht="12.75" hidden="1">
      <c r="A263" s="1021"/>
      <c r="B263" s="110"/>
      <c r="C263" s="286"/>
      <c r="D263" s="287"/>
      <c r="E263" s="287"/>
      <c r="F263" s="287"/>
      <c r="G263" s="287"/>
      <c r="H263" s="1022"/>
      <c r="I263" s="28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V263" s="5"/>
    </row>
    <row r="264" spans="1:22" ht="12.75" hidden="1">
      <c r="A264" s="1021"/>
      <c r="B264" s="110"/>
      <c r="C264" s="286"/>
      <c r="D264" s="287"/>
      <c r="E264" s="287"/>
      <c r="F264" s="287"/>
      <c r="G264" s="287"/>
      <c r="H264" s="1022"/>
      <c r="I264" s="28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V264" s="5"/>
    </row>
    <row r="265" spans="1:22" ht="12.75" hidden="1">
      <c r="A265" s="1021"/>
      <c r="B265" s="110"/>
      <c r="C265" s="286"/>
      <c r="D265" s="287"/>
      <c r="E265" s="287"/>
      <c r="F265" s="287"/>
      <c r="G265" s="287"/>
      <c r="H265" s="1022"/>
      <c r="I265" s="28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V265" s="5"/>
    </row>
    <row r="266" spans="1:22" ht="12.75" hidden="1">
      <c r="A266" s="1021"/>
      <c r="B266" s="110"/>
      <c r="C266" s="286"/>
      <c r="D266" s="287"/>
      <c r="E266" s="287"/>
      <c r="F266" s="287"/>
      <c r="G266" s="287"/>
      <c r="H266" s="1022"/>
      <c r="I266" s="28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V266" s="5"/>
    </row>
    <row r="267" spans="1:22" ht="12.75" hidden="1">
      <c r="A267" s="1021"/>
      <c r="B267" s="110"/>
      <c r="C267" s="286"/>
      <c r="D267" s="287"/>
      <c r="E267" s="287"/>
      <c r="F267" s="287"/>
      <c r="G267" s="287"/>
      <c r="H267" s="1022"/>
      <c r="I267" s="28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V267" s="5"/>
    </row>
    <row r="268" spans="1:22" ht="12.75" hidden="1">
      <c r="A268" s="1021"/>
      <c r="B268" s="110"/>
      <c r="C268" s="286"/>
      <c r="D268" s="287"/>
      <c r="E268" s="287"/>
      <c r="F268" s="287"/>
      <c r="G268" s="287"/>
      <c r="H268" s="1022"/>
      <c r="I268" s="28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V268" s="5"/>
    </row>
    <row r="269" spans="1:22" ht="12.75" hidden="1">
      <c r="A269" s="1021"/>
      <c r="B269" s="110"/>
      <c r="C269" s="286"/>
      <c r="D269" s="287"/>
      <c r="E269" s="287"/>
      <c r="F269" s="287"/>
      <c r="G269" s="287"/>
      <c r="H269" s="1022"/>
      <c r="I269" s="28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V269" s="5"/>
    </row>
    <row r="270" spans="1:22" ht="12.75" hidden="1">
      <c r="A270" s="1021"/>
      <c r="B270" s="110"/>
      <c r="C270" s="286"/>
      <c r="D270" s="287"/>
      <c r="E270" s="287"/>
      <c r="F270" s="287"/>
      <c r="G270" s="287"/>
      <c r="H270" s="1022"/>
      <c r="I270" s="28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V270" s="5"/>
    </row>
    <row r="271" spans="1:22" ht="12.75" hidden="1">
      <c r="A271" s="1021"/>
      <c r="B271" s="110"/>
      <c r="C271" s="286"/>
      <c r="D271" s="287"/>
      <c r="E271" s="287"/>
      <c r="F271" s="287"/>
      <c r="G271" s="287"/>
      <c r="H271" s="1022"/>
      <c r="I271" s="28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V271" s="5"/>
    </row>
    <row r="272" spans="1:22" ht="12.75" hidden="1">
      <c r="A272" s="1021"/>
      <c r="B272" s="110"/>
      <c r="C272" s="286"/>
      <c r="D272" s="287"/>
      <c r="E272" s="287"/>
      <c r="F272" s="287"/>
      <c r="G272" s="287"/>
      <c r="H272" s="1022"/>
      <c r="I272" s="28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V272" s="5"/>
    </row>
    <row r="273" spans="1:22" ht="12.75" hidden="1">
      <c r="A273" s="1021"/>
      <c r="B273" s="110"/>
      <c r="C273" s="286"/>
      <c r="D273" s="287"/>
      <c r="E273" s="287"/>
      <c r="F273" s="287"/>
      <c r="G273" s="287"/>
      <c r="H273" s="1022"/>
      <c r="I273" s="28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V273" s="5"/>
    </row>
    <row r="274" spans="1:22" ht="12.75" hidden="1">
      <c r="A274" s="1021"/>
      <c r="B274" s="110"/>
      <c r="C274" s="286"/>
      <c r="D274" s="287"/>
      <c r="E274" s="287"/>
      <c r="F274" s="287"/>
      <c r="G274" s="287"/>
      <c r="H274" s="1022"/>
      <c r="I274" s="28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V274" s="5"/>
    </row>
    <row r="275" spans="1:22" ht="12.75" hidden="1">
      <c r="A275" s="1021"/>
      <c r="B275" s="110"/>
      <c r="C275" s="286"/>
      <c r="D275" s="287"/>
      <c r="E275" s="287"/>
      <c r="F275" s="287"/>
      <c r="G275" s="287"/>
      <c r="H275" s="1022"/>
      <c r="I275" s="28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V275" s="5"/>
    </row>
    <row r="276" spans="1:22" ht="12.75" hidden="1">
      <c r="A276" s="1021"/>
      <c r="B276" s="110"/>
      <c r="C276" s="286"/>
      <c r="D276" s="287"/>
      <c r="E276" s="287"/>
      <c r="F276" s="287"/>
      <c r="G276" s="287"/>
      <c r="H276" s="1022"/>
      <c r="I276" s="28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V276" s="5"/>
    </row>
    <row r="277" spans="1:22" ht="12.75" hidden="1">
      <c r="A277" s="1021"/>
      <c r="B277" s="110"/>
      <c r="C277" s="286"/>
      <c r="D277" s="287"/>
      <c r="E277" s="287"/>
      <c r="F277" s="287"/>
      <c r="G277" s="287"/>
      <c r="H277" s="1022"/>
      <c r="I277" s="28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V277" s="5"/>
    </row>
    <row r="278" spans="1:22" ht="12.75" hidden="1">
      <c r="A278" s="1021"/>
      <c r="B278" s="110"/>
      <c r="C278" s="286"/>
      <c r="D278" s="287"/>
      <c r="E278" s="287"/>
      <c r="F278" s="287"/>
      <c r="G278" s="287"/>
      <c r="H278" s="1022"/>
      <c r="I278" s="28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V278" s="5"/>
    </row>
    <row r="279" spans="1:22" ht="12.75" hidden="1">
      <c r="A279" s="1021"/>
      <c r="B279" s="110"/>
      <c r="C279" s="286"/>
      <c r="D279" s="287"/>
      <c r="E279" s="287"/>
      <c r="F279" s="287"/>
      <c r="G279" s="287"/>
      <c r="H279" s="1022"/>
      <c r="I279" s="28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V279" s="5"/>
    </row>
    <row r="280" spans="1:22" ht="12.75" hidden="1">
      <c r="A280" s="1021"/>
      <c r="B280" s="110"/>
      <c r="C280" s="286"/>
      <c r="D280" s="287"/>
      <c r="E280" s="287"/>
      <c r="F280" s="287"/>
      <c r="G280" s="287"/>
      <c r="H280" s="1022"/>
      <c r="I280" s="28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V280" s="5"/>
    </row>
    <row r="281" spans="1:22" ht="12.75" hidden="1">
      <c r="A281" s="1021"/>
      <c r="B281" s="110"/>
      <c r="C281" s="286"/>
      <c r="D281" s="287"/>
      <c r="E281" s="287"/>
      <c r="F281" s="287"/>
      <c r="G281" s="287"/>
      <c r="H281" s="1022"/>
      <c r="I281" s="28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V281" s="5"/>
    </row>
    <row r="282" spans="1:22" ht="12.75">
      <c r="A282" s="1021"/>
      <c r="B282" s="110"/>
      <c r="C282" s="286"/>
      <c r="D282" s="287"/>
      <c r="E282" s="287"/>
      <c r="F282" s="287"/>
      <c r="G282" s="287"/>
      <c r="H282" s="1022"/>
      <c r="I282" s="28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V282" s="5"/>
    </row>
    <row r="283" spans="1:20" ht="12.75">
      <c r="A283" s="1021"/>
      <c r="B283" s="110"/>
      <c r="C283" s="286"/>
      <c r="D283" s="287"/>
      <c r="E283" s="287"/>
      <c r="F283" s="287"/>
      <c r="G283" s="287"/>
      <c r="H283" s="1022"/>
      <c r="I283" s="287"/>
      <c r="J283" s="1596" t="s">
        <v>566</v>
      </c>
      <c r="K283" s="1596"/>
      <c r="L283" s="1596"/>
      <c r="M283" s="1596"/>
      <c r="N283" s="1596"/>
      <c r="O283" s="1596"/>
      <c r="P283" s="1596"/>
      <c r="Q283" s="1596"/>
      <c r="R283" s="1596"/>
      <c r="S283" s="1596"/>
      <c r="T283" s="1596"/>
    </row>
    <row r="284" spans="1:22" ht="12.75">
      <c r="A284" s="1021"/>
      <c r="B284" s="110"/>
      <c r="C284" s="286"/>
      <c r="D284" s="287"/>
      <c r="E284" s="287"/>
      <c r="F284" s="287"/>
      <c r="G284" s="287"/>
      <c r="H284" s="1022"/>
      <c r="I284" s="28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V284" s="5"/>
    </row>
    <row r="285" spans="1:23" s="1024" customFormat="1" ht="39.75" customHeight="1">
      <c r="A285" s="822" t="s">
        <v>414</v>
      </c>
      <c r="B285" s="823"/>
      <c r="C285" s="824"/>
      <c r="D285" s="1010" t="s">
        <v>13</v>
      </c>
      <c r="E285" s="1010" t="s">
        <v>14</v>
      </c>
      <c r="F285" s="827" t="s">
        <v>15</v>
      </c>
      <c r="G285" s="1010" t="s">
        <v>16</v>
      </c>
      <c r="H285" s="827" t="s">
        <v>15</v>
      </c>
      <c r="I285" s="1010" t="s">
        <v>17</v>
      </c>
      <c r="J285" s="827" t="s">
        <v>15</v>
      </c>
      <c r="K285" s="828" t="s">
        <v>20</v>
      </c>
      <c r="L285" s="829" t="s">
        <v>18</v>
      </c>
      <c r="M285" s="830">
        <v>2012</v>
      </c>
      <c r="N285" s="1062" t="s">
        <v>567</v>
      </c>
      <c r="O285" s="828" t="s">
        <v>20</v>
      </c>
      <c r="P285" s="828" t="s">
        <v>21</v>
      </c>
      <c r="Q285" s="21" t="s">
        <v>22</v>
      </c>
      <c r="R285" s="21" t="s">
        <v>436</v>
      </c>
      <c r="S285" s="21" t="s">
        <v>23</v>
      </c>
      <c r="T285" s="20" t="s">
        <v>24</v>
      </c>
      <c r="U285" s="19" t="s">
        <v>437</v>
      </c>
      <c r="V285" s="22" t="s">
        <v>26</v>
      </c>
      <c r="W285" s="827" t="s">
        <v>15</v>
      </c>
    </row>
    <row r="286" spans="1:23" s="289" customFormat="1" ht="11.25">
      <c r="A286" s="834" t="s">
        <v>568</v>
      </c>
      <c r="B286" s="1087"/>
      <c r="C286" s="1087"/>
      <c r="D286" s="83">
        <f>D287+D288+D289</f>
        <v>1700</v>
      </c>
      <c r="E286" s="83">
        <v>817</v>
      </c>
      <c r="F286" s="84">
        <v>48.06</v>
      </c>
      <c r="G286" s="83">
        <v>1867</v>
      </c>
      <c r="H286" s="86">
        <v>109.82</v>
      </c>
      <c r="I286" s="83">
        <f>I287+I288+I289</f>
        <v>21346</v>
      </c>
      <c r="J286" s="984">
        <v>1255.65</v>
      </c>
      <c r="K286" s="982">
        <f>SUM(K287,K288,K289)</f>
        <v>21400</v>
      </c>
      <c r="L286" s="982">
        <f>L287+L288+L289+L290</f>
        <v>35546</v>
      </c>
      <c r="M286" s="982">
        <f>SUM(M287,M288,M289)</f>
        <v>3000</v>
      </c>
      <c r="N286" s="83">
        <f>N287+N288+N289+N290</f>
        <v>2913.42</v>
      </c>
      <c r="O286" s="982">
        <v>0</v>
      </c>
      <c r="P286" s="982">
        <f>SUM(P287,P288,P289)</f>
        <v>3000</v>
      </c>
      <c r="Q286" s="983">
        <f>SUM(Q287:Q290)</f>
        <v>12752.220000000001</v>
      </c>
      <c r="R286" s="983">
        <f>R287+R288+R289+R290</f>
        <v>3000</v>
      </c>
      <c r="S286" s="983">
        <f>S287+S288+S289+S290</f>
        <v>19312.43</v>
      </c>
      <c r="T286" s="983">
        <f>T287+T288+T289+T290</f>
        <v>22257.27</v>
      </c>
      <c r="U286" s="1026">
        <f>U287+U289+U290</f>
        <v>19257.27</v>
      </c>
      <c r="V286" s="983">
        <f>V287+V288+V289+V290</f>
        <v>21758.719999999998</v>
      </c>
      <c r="W286" s="843">
        <f>V286/T286*100</f>
        <v>97.76005772495907</v>
      </c>
    </row>
    <row r="287" spans="1:23" s="5" customFormat="1" ht="12.75">
      <c r="A287" s="45">
        <v>610.62</v>
      </c>
      <c r="B287" s="46"/>
      <c r="C287" s="993" t="s">
        <v>439</v>
      </c>
      <c r="D287" s="62">
        <v>0</v>
      </c>
      <c r="E287" s="62">
        <v>0</v>
      </c>
      <c r="F287" s="62"/>
      <c r="G287" s="62">
        <v>0</v>
      </c>
      <c r="H287" s="92"/>
      <c r="I287" s="62">
        <v>0</v>
      </c>
      <c r="J287" s="61"/>
      <c r="K287" s="131">
        <v>0</v>
      </c>
      <c r="L287" s="131">
        <v>0</v>
      </c>
      <c r="M287" s="131">
        <v>0</v>
      </c>
      <c r="N287" s="62">
        <v>1790.49</v>
      </c>
      <c r="O287" s="131"/>
      <c r="P287" s="131">
        <v>0</v>
      </c>
      <c r="Q287" s="131">
        <v>1790.49</v>
      </c>
      <c r="R287" s="131">
        <v>0</v>
      </c>
      <c r="S287" s="131">
        <v>1790.49</v>
      </c>
      <c r="T287" s="131">
        <v>1790.49</v>
      </c>
      <c r="U287" s="1137">
        <v>1790.49</v>
      </c>
      <c r="V287" s="131">
        <v>1790.49</v>
      </c>
      <c r="W287" s="44"/>
    </row>
    <row r="288" spans="1:23" s="33" customFormat="1" ht="12.75">
      <c r="A288" s="45">
        <v>632</v>
      </c>
      <c r="B288" s="46"/>
      <c r="C288" s="35" t="s">
        <v>170</v>
      </c>
      <c r="D288" s="62">
        <v>0</v>
      </c>
      <c r="E288" s="62">
        <v>0</v>
      </c>
      <c r="F288" s="62"/>
      <c r="G288" s="62">
        <v>0</v>
      </c>
      <c r="H288" s="92"/>
      <c r="I288" s="62">
        <v>180</v>
      </c>
      <c r="J288" s="61"/>
      <c r="K288" s="131">
        <v>200</v>
      </c>
      <c r="L288" s="131">
        <v>236</v>
      </c>
      <c r="M288" s="131">
        <v>250</v>
      </c>
      <c r="N288" s="62">
        <v>60.49</v>
      </c>
      <c r="O288" s="131"/>
      <c r="P288" s="131">
        <v>250</v>
      </c>
      <c r="Q288" s="131">
        <v>118.21</v>
      </c>
      <c r="R288" s="988">
        <v>250</v>
      </c>
      <c r="S288" s="131">
        <v>181.22</v>
      </c>
      <c r="T288" s="988">
        <v>250</v>
      </c>
      <c r="U288" s="851"/>
      <c r="V288" s="131">
        <v>282.21</v>
      </c>
      <c r="W288" s="169"/>
    </row>
    <row r="289" spans="1:23" ht="12.75">
      <c r="A289" s="45">
        <v>637</v>
      </c>
      <c r="B289" s="46"/>
      <c r="C289" s="35" t="s">
        <v>569</v>
      </c>
      <c r="D289" s="62">
        <v>1700</v>
      </c>
      <c r="E289" s="62">
        <v>817</v>
      </c>
      <c r="F289" s="62"/>
      <c r="G289" s="62">
        <v>1867</v>
      </c>
      <c r="H289" s="92"/>
      <c r="I289" s="62">
        <v>21166</v>
      </c>
      <c r="J289" s="61"/>
      <c r="K289" s="62">
        <v>21200</v>
      </c>
      <c r="L289" s="131">
        <v>31452</v>
      </c>
      <c r="M289" s="949">
        <v>2750</v>
      </c>
      <c r="N289" s="62">
        <v>1062.44</v>
      </c>
      <c r="O289" s="949"/>
      <c r="P289" s="949">
        <v>2750</v>
      </c>
      <c r="Q289" s="131">
        <v>10843.52</v>
      </c>
      <c r="R289" s="988">
        <v>2750</v>
      </c>
      <c r="S289" s="131">
        <v>9623.94</v>
      </c>
      <c r="T289" s="988">
        <v>12500</v>
      </c>
      <c r="U289" s="987">
        <v>9750</v>
      </c>
      <c r="V289" s="131">
        <v>11969.24</v>
      </c>
      <c r="W289" s="61"/>
    </row>
    <row r="290" spans="1:23" ht="12.75">
      <c r="A290" s="852">
        <v>637</v>
      </c>
      <c r="B290" s="920"/>
      <c r="C290" s="897" t="s">
        <v>570</v>
      </c>
      <c r="D290" s="958">
        <v>1700</v>
      </c>
      <c r="E290" s="958">
        <v>817</v>
      </c>
      <c r="F290" s="958"/>
      <c r="G290" s="958">
        <v>1867</v>
      </c>
      <c r="H290" s="1138"/>
      <c r="I290" s="958">
        <v>21166</v>
      </c>
      <c r="J290" s="1139"/>
      <c r="K290" s="958">
        <v>21200</v>
      </c>
      <c r="L290" s="924">
        <v>3858</v>
      </c>
      <c r="M290" s="131"/>
      <c r="N290" s="958">
        <v>0</v>
      </c>
      <c r="O290" s="1140"/>
      <c r="P290" s="1140"/>
      <c r="Q290" s="1140">
        <v>0</v>
      </c>
      <c r="R290" s="1140">
        <v>0</v>
      </c>
      <c r="S290" s="1140">
        <v>7716.78</v>
      </c>
      <c r="T290" s="1140">
        <v>7716.78</v>
      </c>
      <c r="U290" s="1141">
        <v>7716.78</v>
      </c>
      <c r="V290" s="1140">
        <v>7716.78</v>
      </c>
      <c r="W290" s="61"/>
    </row>
    <row r="291" spans="1:14" ht="12.75">
      <c r="A291" s="289"/>
      <c r="B291" s="289"/>
      <c r="C291" s="989"/>
      <c r="D291" s="75"/>
      <c r="E291" s="75"/>
      <c r="F291" s="75"/>
      <c r="G291" s="75"/>
      <c r="H291" s="990"/>
      <c r="I291" s="75"/>
      <c r="N291" s="75"/>
    </row>
    <row r="292" spans="1:23" s="289" customFormat="1" ht="11.25">
      <c r="A292" s="834" t="s">
        <v>571</v>
      </c>
      <c r="B292" s="1087"/>
      <c r="C292" s="1087"/>
      <c r="D292" s="83">
        <f>D294+D293+D295</f>
        <v>13500</v>
      </c>
      <c r="E292" s="83">
        <v>4213</v>
      </c>
      <c r="F292" s="84">
        <v>31.21</v>
      </c>
      <c r="G292" s="83">
        <v>8969</v>
      </c>
      <c r="H292" s="86">
        <v>66.44</v>
      </c>
      <c r="I292" s="83">
        <f>I293+I294+I296+I295</f>
        <v>12932</v>
      </c>
      <c r="J292" s="984">
        <v>95.79</v>
      </c>
      <c r="K292" s="982">
        <f>SUM(K293,K294,K295,K296)</f>
        <v>15500</v>
      </c>
      <c r="L292" s="982">
        <f>SUM(L293,L294,L295,L296)</f>
        <v>18675</v>
      </c>
      <c r="M292" s="982">
        <f>SUM(M293,M294,M295,M296)</f>
        <v>16150</v>
      </c>
      <c r="N292" s="83">
        <f>N293+N294+N295+N296</f>
        <v>5245.78</v>
      </c>
      <c r="O292" s="982">
        <v>0</v>
      </c>
      <c r="P292" s="982">
        <f>SUM(P293,P294,P295,P296)</f>
        <v>16150</v>
      </c>
      <c r="Q292" s="983">
        <f>SUM(Q293:Q296)</f>
        <v>8186.110000000001</v>
      </c>
      <c r="R292" s="983">
        <f>R293+R294+R295+R296</f>
        <v>16150</v>
      </c>
      <c r="S292" s="983">
        <f>S293+S294+S295+S296</f>
        <v>11229</v>
      </c>
      <c r="T292" s="983">
        <f>SUM(T293,T294,T295,T296)</f>
        <v>15650</v>
      </c>
      <c r="U292" s="1142">
        <f>U295</f>
        <v>500</v>
      </c>
      <c r="V292" s="983">
        <f>V293+V294+V295+V296</f>
        <v>13961.06</v>
      </c>
      <c r="W292" s="843">
        <f>V292/T292*100</f>
        <v>89.20805111821086</v>
      </c>
    </row>
    <row r="293" spans="1:23" s="5" customFormat="1" ht="12.75">
      <c r="A293" s="34">
        <v>632</v>
      </c>
      <c r="B293" s="46"/>
      <c r="C293" s="35" t="s">
        <v>170</v>
      </c>
      <c r="D293" s="63">
        <v>12000</v>
      </c>
      <c r="E293" s="63">
        <v>4098</v>
      </c>
      <c r="F293" s="63"/>
      <c r="G293" s="63">
        <v>7325</v>
      </c>
      <c r="H293" s="92"/>
      <c r="I293" s="63">
        <v>9644</v>
      </c>
      <c r="J293" s="61"/>
      <c r="K293" s="62">
        <v>12000</v>
      </c>
      <c r="L293" s="131">
        <v>15240</v>
      </c>
      <c r="M293" s="62">
        <v>15000</v>
      </c>
      <c r="N293" s="63">
        <v>5042.98</v>
      </c>
      <c r="O293" s="131"/>
      <c r="P293" s="62">
        <v>15000</v>
      </c>
      <c r="Q293" s="62">
        <v>7983.31</v>
      </c>
      <c r="R293" s="186">
        <v>15000</v>
      </c>
      <c r="S293" s="186">
        <v>10967.18</v>
      </c>
      <c r="T293" s="186">
        <v>15000</v>
      </c>
      <c r="U293" s="222"/>
      <c r="V293" s="186">
        <v>13451.8</v>
      </c>
      <c r="W293" s="44"/>
    </row>
    <row r="294" spans="1:23" s="33" customFormat="1" ht="12.75">
      <c r="A294" s="34">
        <v>633</v>
      </c>
      <c r="B294" s="46"/>
      <c r="C294" s="35" t="s">
        <v>172</v>
      </c>
      <c r="D294" s="63">
        <v>1000</v>
      </c>
      <c r="E294" s="63">
        <v>115</v>
      </c>
      <c r="F294" s="63"/>
      <c r="G294" s="63">
        <v>115</v>
      </c>
      <c r="H294" s="92"/>
      <c r="I294" s="63">
        <v>115</v>
      </c>
      <c r="J294" s="61"/>
      <c r="K294" s="131">
        <v>200</v>
      </c>
      <c r="L294" s="131">
        <v>115</v>
      </c>
      <c r="M294" s="62">
        <v>150</v>
      </c>
      <c r="N294" s="63">
        <v>0</v>
      </c>
      <c r="O294" s="131"/>
      <c r="P294" s="62">
        <v>150</v>
      </c>
      <c r="Q294" s="62">
        <v>0</v>
      </c>
      <c r="R294" s="186">
        <v>150</v>
      </c>
      <c r="S294" s="186">
        <v>59.02</v>
      </c>
      <c r="T294" s="186">
        <v>150</v>
      </c>
      <c r="U294" s="222"/>
      <c r="V294" s="186">
        <v>59.02</v>
      </c>
      <c r="W294" s="169"/>
    </row>
    <row r="295" spans="1:23" ht="12.75">
      <c r="A295" s="34">
        <v>635</v>
      </c>
      <c r="B295" s="46"/>
      <c r="C295" s="35" t="s">
        <v>272</v>
      </c>
      <c r="D295" s="63">
        <v>500</v>
      </c>
      <c r="E295" s="63">
        <v>0</v>
      </c>
      <c r="F295" s="63"/>
      <c r="G295" s="63">
        <v>16</v>
      </c>
      <c r="H295" s="92"/>
      <c r="I295" s="63">
        <v>34</v>
      </c>
      <c r="J295" s="61"/>
      <c r="K295" s="131">
        <v>100</v>
      </c>
      <c r="L295" s="131">
        <v>181</v>
      </c>
      <c r="M295" s="62">
        <v>1000</v>
      </c>
      <c r="N295" s="63">
        <v>202.8</v>
      </c>
      <c r="O295" s="131"/>
      <c r="P295" s="62">
        <v>1000</v>
      </c>
      <c r="Q295" s="62">
        <v>202.8</v>
      </c>
      <c r="R295" s="186">
        <v>1000</v>
      </c>
      <c r="S295" s="186">
        <v>202.8</v>
      </c>
      <c r="T295" s="186">
        <v>500</v>
      </c>
      <c r="U295" s="850">
        <v>500</v>
      </c>
      <c r="V295" s="186">
        <v>450.24</v>
      </c>
      <c r="W295" s="61"/>
    </row>
    <row r="296" spans="1:23" ht="12.75">
      <c r="A296" s="141">
        <v>637</v>
      </c>
      <c r="B296" s="145"/>
      <c r="C296" s="97" t="s">
        <v>180</v>
      </c>
      <c r="D296" s="63"/>
      <c r="E296" s="63"/>
      <c r="F296" s="63"/>
      <c r="G296" s="63">
        <v>1513</v>
      </c>
      <c r="H296" s="92"/>
      <c r="I296" s="63">
        <v>3139</v>
      </c>
      <c r="J296" s="61"/>
      <c r="K296" s="62">
        <v>3200</v>
      </c>
      <c r="L296" s="131">
        <v>3139</v>
      </c>
      <c r="M296" s="62">
        <v>0</v>
      </c>
      <c r="N296" s="63">
        <v>0</v>
      </c>
      <c r="O296" s="131"/>
      <c r="P296" s="62">
        <v>0</v>
      </c>
      <c r="Q296" s="62">
        <v>0</v>
      </c>
      <c r="R296" s="186">
        <v>0</v>
      </c>
      <c r="S296" s="186">
        <v>0</v>
      </c>
      <c r="T296" s="186">
        <v>0</v>
      </c>
      <c r="U296" s="222"/>
      <c r="V296" s="186">
        <v>0</v>
      </c>
      <c r="W296" s="61"/>
    </row>
    <row r="297" spans="1:23" ht="12.75">
      <c r="A297" s="997" t="s">
        <v>572</v>
      </c>
      <c r="B297" s="998"/>
      <c r="C297" s="1143" t="s">
        <v>573</v>
      </c>
      <c r="D297" s="266">
        <f>D286+D292</f>
        <v>15200</v>
      </c>
      <c r="E297" s="266">
        <v>5030</v>
      </c>
      <c r="F297" s="1113">
        <v>33.09</v>
      </c>
      <c r="G297" s="266">
        <v>10836</v>
      </c>
      <c r="H297" s="1114">
        <v>71.29</v>
      </c>
      <c r="I297" s="266">
        <f>I286+I292</f>
        <v>34278</v>
      </c>
      <c r="J297" s="227">
        <v>225.51</v>
      </c>
      <c r="K297" s="225">
        <f>SUM(K286,K292)</f>
        <v>36900</v>
      </c>
      <c r="L297" s="225">
        <f>SUM(L286,L292)</f>
        <v>54221</v>
      </c>
      <c r="M297" s="225">
        <f>SUM(M286,M292)</f>
        <v>19150</v>
      </c>
      <c r="N297" s="266">
        <f>N286+N292</f>
        <v>8159.2</v>
      </c>
      <c r="O297" s="225">
        <v>0</v>
      </c>
      <c r="P297" s="225">
        <f>SUM(P286,P292)</f>
        <v>19150</v>
      </c>
      <c r="Q297" s="226">
        <f>Q286+Q292</f>
        <v>20938.33</v>
      </c>
      <c r="R297" s="226">
        <f>R286+R292</f>
        <v>19150</v>
      </c>
      <c r="S297" s="226">
        <f>S286+S292</f>
        <v>30541.43</v>
      </c>
      <c r="T297" s="226">
        <f>SUM(T286,T292)</f>
        <v>37907.270000000004</v>
      </c>
      <c r="U297" s="1053">
        <f>U286-U292</f>
        <v>18757.27</v>
      </c>
      <c r="V297" s="226">
        <f>V286+V292</f>
        <v>35719.78</v>
      </c>
      <c r="W297" s="1006">
        <f>V297/T297*100</f>
        <v>94.22936550165706</v>
      </c>
    </row>
    <row r="298" spans="1:9" ht="12.75">
      <c r="A298" s="1021"/>
      <c r="B298" s="110"/>
      <c r="C298" s="286"/>
      <c r="D298" s="287"/>
      <c r="E298" s="287"/>
      <c r="F298" s="287"/>
      <c r="G298" s="287"/>
      <c r="H298" s="1022"/>
      <c r="I298" s="287"/>
    </row>
    <row r="299" spans="1:22" ht="12.75" hidden="1">
      <c r="A299" s="1144"/>
      <c r="B299" s="1144"/>
      <c r="C299" s="1144"/>
      <c r="D299" s="1144"/>
      <c r="E299" s="1144"/>
      <c r="F299" s="1144"/>
      <c r="G299" s="1144"/>
      <c r="H299" s="1144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</row>
    <row r="300" spans="1:21" ht="12.75" hidden="1">
      <c r="A300" s="1144"/>
      <c r="B300" s="1144"/>
      <c r="C300" s="1144"/>
      <c r="D300" s="1144"/>
      <c r="E300" s="1144"/>
      <c r="F300" s="1144"/>
      <c r="G300" s="1144"/>
      <c r="H300" s="1144"/>
      <c r="I300" s="162"/>
      <c r="J300" s="1631"/>
      <c r="K300" s="1631"/>
      <c r="L300" s="1631"/>
      <c r="M300" s="1631"/>
      <c r="N300" s="1631"/>
      <c r="O300" s="1631"/>
      <c r="P300" s="1631"/>
      <c r="Q300" s="1631"/>
      <c r="R300" s="1631"/>
      <c r="S300" s="1631"/>
      <c r="T300" s="1631"/>
      <c r="U300" s="162"/>
    </row>
    <row r="301" spans="1:22" ht="12.75" hidden="1">
      <c r="A301" s="1144"/>
      <c r="B301" s="1144"/>
      <c r="C301" s="1144"/>
      <c r="D301" s="1144"/>
      <c r="E301" s="1144"/>
      <c r="F301" s="1144"/>
      <c r="G301" s="1144"/>
      <c r="H301" s="1144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</row>
    <row r="302" spans="1:22" ht="12.75" hidden="1">
      <c r="A302" s="162"/>
      <c r="B302" s="162"/>
      <c r="C302" s="162"/>
      <c r="D302" s="1145"/>
      <c r="E302" s="1146"/>
      <c r="F302" s="1145"/>
      <c r="G302" s="1147"/>
      <c r="H302" s="1148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</row>
    <row r="303" spans="1:22" s="1024" customFormat="1" ht="12.75" hidden="1">
      <c r="A303" s="1149"/>
      <c r="B303" s="1150"/>
      <c r="C303" s="1151"/>
      <c r="D303" s="1152"/>
      <c r="E303" s="1152"/>
      <c r="F303" s="1153"/>
      <c r="G303" s="1152"/>
      <c r="H303" s="1153"/>
      <c r="I303" s="1152"/>
      <c r="J303" s="1153"/>
      <c r="K303" s="1154"/>
      <c r="L303" s="1155"/>
      <c r="M303" s="1156"/>
      <c r="N303" s="1157"/>
      <c r="O303" s="1154"/>
      <c r="P303" s="1154"/>
      <c r="Q303" s="1158"/>
      <c r="R303" s="1158"/>
      <c r="S303" s="1158"/>
      <c r="T303" s="1158"/>
      <c r="U303" s="1157"/>
      <c r="V303" s="1158"/>
    </row>
    <row r="304" spans="1:22" s="989" customFormat="1" ht="11.25" hidden="1">
      <c r="A304" s="1159"/>
      <c r="B304" s="1159"/>
      <c r="C304" s="1159"/>
      <c r="D304" s="1160"/>
      <c r="E304" s="1160"/>
      <c r="F304" s="1161"/>
      <c r="G304" s="1160"/>
      <c r="H304" s="1162"/>
      <c r="I304" s="1160"/>
      <c r="J304" s="1159"/>
      <c r="K304" s="1163"/>
      <c r="L304" s="1163"/>
      <c r="M304" s="1163"/>
      <c r="N304" s="1160"/>
      <c r="O304" s="1164"/>
      <c r="P304" s="1163"/>
      <c r="Q304" s="1165"/>
      <c r="R304" s="1165"/>
      <c r="S304" s="1165"/>
      <c r="T304" s="1163"/>
      <c r="U304" s="1165"/>
      <c r="V304" s="1165"/>
    </row>
    <row r="305" spans="1:22" s="5" customFormat="1" ht="12.75" hidden="1">
      <c r="A305" s="1055"/>
      <c r="B305" s="1055"/>
      <c r="C305" s="1055"/>
      <c r="D305" s="1166"/>
      <c r="E305" s="1166"/>
      <c r="F305" s="1166"/>
      <c r="G305" s="1166"/>
      <c r="H305" s="1167"/>
      <c r="I305" s="1166"/>
      <c r="J305" s="162"/>
      <c r="K305" s="1166"/>
      <c r="L305" s="1055"/>
      <c r="M305" s="1055"/>
      <c r="N305" s="1166"/>
      <c r="O305" s="1055"/>
      <c r="P305" s="1055"/>
      <c r="Q305" s="1168"/>
      <c r="R305" s="1168"/>
      <c r="S305" s="1168"/>
      <c r="T305" s="1055"/>
      <c r="U305" s="1055"/>
      <c r="V305" s="1168"/>
    </row>
    <row r="306" spans="1:22" s="33" customFormat="1" ht="12.75" hidden="1">
      <c r="A306" s="1055"/>
      <c r="B306" s="1055"/>
      <c r="C306" s="1055"/>
      <c r="D306" s="1166"/>
      <c r="E306" s="1166"/>
      <c r="F306" s="1166"/>
      <c r="G306" s="1166"/>
      <c r="H306" s="1167"/>
      <c r="I306" s="1166"/>
      <c r="J306" s="162"/>
      <c r="K306" s="1055"/>
      <c r="L306" s="1055"/>
      <c r="M306" s="1055"/>
      <c r="N306" s="1166"/>
      <c r="O306" s="1055"/>
      <c r="P306" s="1055"/>
      <c r="Q306" s="1168"/>
      <c r="R306" s="1168"/>
      <c r="S306" s="1168"/>
      <c r="T306" s="1055"/>
      <c r="U306" s="1055"/>
      <c r="V306" s="1168"/>
    </row>
    <row r="307" spans="1:22" ht="12.75">
      <c r="A307" s="1144"/>
      <c r="B307" s="1144"/>
      <c r="C307" s="1144"/>
      <c r="D307" s="1144"/>
      <c r="E307" s="1144"/>
      <c r="F307" s="1144"/>
      <c r="G307" s="1144"/>
      <c r="H307" s="1144"/>
      <c r="J307" s="1596" t="s">
        <v>574</v>
      </c>
      <c r="K307" s="1596"/>
      <c r="L307" s="1596"/>
      <c r="M307" s="1596"/>
      <c r="N307" s="1596"/>
      <c r="O307" s="1596"/>
      <c r="P307" s="1596"/>
      <c r="Q307" s="1596"/>
      <c r="R307" s="1596"/>
      <c r="S307" s="1596"/>
      <c r="T307" s="1596"/>
      <c r="U307" s="1596"/>
      <c r="V307" s="1596"/>
    </row>
    <row r="308" spans="1:8" ht="12.75" hidden="1">
      <c r="A308" s="1144"/>
      <c r="B308" s="1144"/>
      <c r="C308" s="1144"/>
      <c r="D308" s="1144"/>
      <c r="E308" s="1144"/>
      <c r="F308" s="1144"/>
      <c r="G308" s="1144"/>
      <c r="H308" s="1144"/>
    </row>
    <row r="309" spans="1:10" ht="12.75">
      <c r="A309" s="5"/>
      <c r="B309" s="5"/>
      <c r="C309" s="5"/>
      <c r="D309" s="1169"/>
      <c r="E309" s="1170"/>
      <c r="F309" s="1169"/>
      <c r="G309" s="1121"/>
      <c r="H309" s="1029"/>
      <c r="I309" s="5"/>
      <c r="J309" s="5"/>
    </row>
    <row r="310" spans="1:23" ht="39.75" customHeight="1">
      <c r="A310" s="822" t="s">
        <v>414</v>
      </c>
      <c r="B310" s="823"/>
      <c r="C310" s="824"/>
      <c r="D310" s="1010" t="s">
        <v>13</v>
      </c>
      <c r="E310" s="1010" t="s">
        <v>14</v>
      </c>
      <c r="F310" s="827" t="s">
        <v>15</v>
      </c>
      <c r="G310" s="1010" t="s">
        <v>16</v>
      </c>
      <c r="H310" s="827" t="s">
        <v>15</v>
      </c>
      <c r="I310" s="1010" t="s">
        <v>17</v>
      </c>
      <c r="J310" s="827" t="s">
        <v>15</v>
      </c>
      <c r="K310" s="828" t="s">
        <v>20</v>
      </c>
      <c r="L310" s="829" t="s">
        <v>18</v>
      </c>
      <c r="M310" s="830">
        <v>2012</v>
      </c>
      <c r="N310" s="1062" t="s">
        <v>575</v>
      </c>
      <c r="O310" s="828" t="s">
        <v>20</v>
      </c>
      <c r="P310" s="828" t="s">
        <v>21</v>
      </c>
      <c r="Q310" s="21" t="s">
        <v>22</v>
      </c>
      <c r="R310" s="21" t="s">
        <v>436</v>
      </c>
      <c r="S310" s="21" t="s">
        <v>23</v>
      </c>
      <c r="T310" s="20" t="s">
        <v>24</v>
      </c>
      <c r="U310" s="19" t="s">
        <v>437</v>
      </c>
      <c r="V310" s="22" t="s">
        <v>26</v>
      </c>
      <c r="W310" s="827" t="s">
        <v>15</v>
      </c>
    </row>
    <row r="311" spans="1:23" ht="12.75">
      <c r="A311" s="834" t="s">
        <v>576</v>
      </c>
      <c r="B311" s="1087"/>
      <c r="C311" s="1087"/>
      <c r="D311" s="83">
        <v>23200</v>
      </c>
      <c r="E311" s="83">
        <v>11603</v>
      </c>
      <c r="F311" s="84">
        <v>50.01</v>
      </c>
      <c r="G311" s="83">
        <f>G312+G313+G314+G315+G316+G317</f>
        <v>19522</v>
      </c>
      <c r="H311" s="86">
        <v>84.15</v>
      </c>
      <c r="I311" s="83">
        <f>I312+I313+I314+I315+I316+I317</f>
        <v>25387</v>
      </c>
      <c r="J311" s="984">
        <v>109.43</v>
      </c>
      <c r="K311" s="982">
        <f>SUM(K312,K313,K314,K315,K316,K317)</f>
        <v>31600</v>
      </c>
      <c r="L311" s="982">
        <f>SUM(L312,L313,L314,L315,L316,L317)</f>
        <v>32967</v>
      </c>
      <c r="M311" s="982">
        <f>SUM(M312,M313,M314,M315,M316,M317)</f>
        <v>31300</v>
      </c>
      <c r="N311" s="83">
        <f>N312+N313+N314+N315+N316+N317</f>
        <v>3762.27</v>
      </c>
      <c r="O311" s="1171">
        <f>O314-O317</f>
        <v>12800</v>
      </c>
      <c r="P311" s="982">
        <f>SUM(P312,P313,P314,P315,P316,P317)</f>
        <v>18500</v>
      </c>
      <c r="Q311" s="983">
        <f>SUM(Q312:Q317)</f>
        <v>3497.9</v>
      </c>
      <c r="R311" s="983">
        <f>R312+R313+R314+R315+R316+R317</f>
        <v>18500</v>
      </c>
      <c r="S311" s="983">
        <f>S312+S313+S314+S315+S316+S317</f>
        <v>10553.319999999998</v>
      </c>
      <c r="T311" s="982">
        <f>SUM(T312,T313,T314,T315,T316,T317)</f>
        <v>16000</v>
      </c>
      <c r="U311" s="983">
        <v>0</v>
      </c>
      <c r="V311" s="983">
        <f>V312+V313+V314+V315+V316+V317</f>
        <v>17521.780000000002</v>
      </c>
      <c r="W311" s="843">
        <f>V311/T311*100</f>
        <v>109.51112500000002</v>
      </c>
    </row>
    <row r="312" spans="1:23" ht="12.75">
      <c r="A312" s="34">
        <v>610</v>
      </c>
      <c r="B312" s="46"/>
      <c r="C312" s="35" t="s">
        <v>577</v>
      </c>
      <c r="D312" s="173">
        <v>3200</v>
      </c>
      <c r="E312" s="62">
        <v>0</v>
      </c>
      <c r="F312" s="173"/>
      <c r="G312" s="62">
        <v>0</v>
      </c>
      <c r="H312" s="92"/>
      <c r="I312" s="62">
        <v>885</v>
      </c>
      <c r="J312" s="61"/>
      <c r="K312" s="62">
        <v>2500</v>
      </c>
      <c r="L312" s="131">
        <v>2525</v>
      </c>
      <c r="M312" s="131">
        <v>3000</v>
      </c>
      <c r="N312" s="62">
        <v>0</v>
      </c>
      <c r="O312" s="131"/>
      <c r="P312" s="131">
        <v>3000</v>
      </c>
      <c r="Q312" s="988">
        <v>50</v>
      </c>
      <c r="R312" s="988">
        <v>3000</v>
      </c>
      <c r="S312" s="988">
        <v>1575.72</v>
      </c>
      <c r="T312" s="131">
        <v>3000</v>
      </c>
      <c r="U312" s="131"/>
      <c r="V312" s="186">
        <v>3093.54</v>
      </c>
      <c r="W312" s="61"/>
    </row>
    <row r="313" spans="1:23" ht="12.75">
      <c r="A313" s="34">
        <v>620</v>
      </c>
      <c r="B313" s="46"/>
      <c r="C313" s="35" t="s">
        <v>166</v>
      </c>
      <c r="D313" s="173">
        <v>1200</v>
      </c>
      <c r="E313" s="62">
        <v>0</v>
      </c>
      <c r="F313" s="173"/>
      <c r="G313" s="62">
        <v>0</v>
      </c>
      <c r="H313" s="92"/>
      <c r="I313" s="62">
        <v>165</v>
      </c>
      <c r="J313" s="61"/>
      <c r="K313" s="131">
        <v>800</v>
      </c>
      <c r="L313" s="131">
        <v>831</v>
      </c>
      <c r="M313" s="131">
        <v>1500</v>
      </c>
      <c r="N313" s="62">
        <v>0</v>
      </c>
      <c r="O313" s="131"/>
      <c r="P313" s="131">
        <v>1500</v>
      </c>
      <c r="Q313" s="988">
        <v>30.75</v>
      </c>
      <c r="R313" s="988">
        <v>1500</v>
      </c>
      <c r="S313" s="988">
        <v>528.12</v>
      </c>
      <c r="T313" s="131">
        <v>1500</v>
      </c>
      <c r="U313" s="131"/>
      <c r="V313" s="186">
        <v>1061.43</v>
      </c>
      <c r="W313" s="61"/>
    </row>
    <row r="314" spans="1:23" ht="12.75">
      <c r="A314" s="34">
        <v>632</v>
      </c>
      <c r="B314" s="46"/>
      <c r="C314" s="35" t="s">
        <v>170</v>
      </c>
      <c r="D314" s="173">
        <v>18000</v>
      </c>
      <c r="E314" s="62">
        <v>11424</v>
      </c>
      <c r="F314" s="173"/>
      <c r="G314" s="62">
        <v>19165</v>
      </c>
      <c r="H314" s="92"/>
      <c r="I314" s="62">
        <v>23707</v>
      </c>
      <c r="J314" s="61"/>
      <c r="K314" s="62">
        <v>27500</v>
      </c>
      <c r="L314" s="131">
        <v>28924</v>
      </c>
      <c r="M314" s="62">
        <v>26000</v>
      </c>
      <c r="N314" s="62">
        <v>3674.73</v>
      </c>
      <c r="O314" s="240">
        <v>13000</v>
      </c>
      <c r="P314" s="62">
        <v>13000</v>
      </c>
      <c r="Q314" s="988">
        <v>2857.3</v>
      </c>
      <c r="R314" s="988">
        <v>13000</v>
      </c>
      <c r="S314" s="988">
        <v>7865.05</v>
      </c>
      <c r="T314" s="131">
        <v>10500</v>
      </c>
      <c r="U314" s="1172">
        <v>2500</v>
      </c>
      <c r="V314" s="186">
        <v>12668.95</v>
      </c>
      <c r="W314" s="61"/>
    </row>
    <row r="315" spans="1:23" ht="12.75">
      <c r="A315" s="34">
        <v>633</v>
      </c>
      <c r="B315" s="46"/>
      <c r="C315" s="35" t="s">
        <v>172</v>
      </c>
      <c r="D315" s="173">
        <v>100</v>
      </c>
      <c r="E315" s="62">
        <v>71</v>
      </c>
      <c r="F315" s="173"/>
      <c r="G315" s="62">
        <v>71</v>
      </c>
      <c r="H315" s="92"/>
      <c r="I315" s="62">
        <v>81</v>
      </c>
      <c r="J315" s="61"/>
      <c r="K315" s="131">
        <v>100</v>
      </c>
      <c r="L315" s="131">
        <v>129</v>
      </c>
      <c r="M315" s="131">
        <v>100</v>
      </c>
      <c r="N315" s="62">
        <v>29.36</v>
      </c>
      <c r="O315" s="131"/>
      <c r="P315" s="131">
        <v>100</v>
      </c>
      <c r="Q315" s="988">
        <v>36.47</v>
      </c>
      <c r="R315" s="988">
        <v>100</v>
      </c>
      <c r="S315" s="988">
        <v>36.47</v>
      </c>
      <c r="T315" s="131">
        <v>100</v>
      </c>
      <c r="U315" s="131"/>
      <c r="V315" s="186">
        <v>153.55</v>
      </c>
      <c r="W315" s="61"/>
    </row>
    <row r="316" spans="1:23" ht="12.75">
      <c r="A316" s="141">
        <v>635</v>
      </c>
      <c r="B316" s="145"/>
      <c r="C316" s="97" t="s">
        <v>272</v>
      </c>
      <c r="D316" s="173">
        <v>500</v>
      </c>
      <c r="E316" s="62">
        <v>108</v>
      </c>
      <c r="F316" s="173"/>
      <c r="G316" s="62">
        <v>116</v>
      </c>
      <c r="H316" s="92"/>
      <c r="I316" s="62">
        <v>379</v>
      </c>
      <c r="J316" s="61"/>
      <c r="K316" s="131">
        <v>500</v>
      </c>
      <c r="L316" s="131">
        <v>388</v>
      </c>
      <c r="M316" s="131">
        <v>500</v>
      </c>
      <c r="N316" s="62">
        <v>58.18</v>
      </c>
      <c r="O316" s="131"/>
      <c r="P316" s="131">
        <v>500</v>
      </c>
      <c r="Q316" s="988">
        <v>187.38</v>
      </c>
      <c r="R316" s="988">
        <v>500</v>
      </c>
      <c r="S316" s="988">
        <v>211.96</v>
      </c>
      <c r="T316" s="131">
        <v>500</v>
      </c>
      <c r="U316" s="131"/>
      <c r="V316" s="186">
        <v>208.31</v>
      </c>
      <c r="W316" s="61"/>
    </row>
    <row r="317" spans="1:23" ht="12.75">
      <c r="A317" s="34">
        <v>637</v>
      </c>
      <c r="B317" s="46"/>
      <c r="C317" s="35" t="s">
        <v>180</v>
      </c>
      <c r="D317" s="173">
        <v>200</v>
      </c>
      <c r="E317" s="62">
        <v>0</v>
      </c>
      <c r="F317" s="173"/>
      <c r="G317" s="62">
        <v>170</v>
      </c>
      <c r="H317" s="92"/>
      <c r="I317" s="62">
        <v>170</v>
      </c>
      <c r="J317" s="61"/>
      <c r="K317" s="131">
        <v>200</v>
      </c>
      <c r="L317" s="131">
        <v>170</v>
      </c>
      <c r="M317" s="131">
        <v>200</v>
      </c>
      <c r="N317" s="62">
        <v>0</v>
      </c>
      <c r="O317" s="949">
        <v>200</v>
      </c>
      <c r="P317" s="131">
        <v>400</v>
      </c>
      <c r="Q317" s="988">
        <v>336</v>
      </c>
      <c r="R317" s="988">
        <v>400</v>
      </c>
      <c r="S317" s="988">
        <v>336</v>
      </c>
      <c r="T317" s="131">
        <v>400</v>
      </c>
      <c r="U317" s="131"/>
      <c r="V317" s="186">
        <v>336</v>
      </c>
      <c r="W317" s="61"/>
    </row>
    <row r="318" spans="1:23" ht="12.75">
      <c r="A318" s="997" t="s">
        <v>578</v>
      </c>
      <c r="B318" s="998"/>
      <c r="C318" s="1143" t="s">
        <v>579</v>
      </c>
      <c r="D318" s="266">
        <v>23200</v>
      </c>
      <c r="E318" s="266">
        <v>11603</v>
      </c>
      <c r="F318" s="1113">
        <v>50.01</v>
      </c>
      <c r="G318" s="266">
        <v>19522</v>
      </c>
      <c r="H318" s="1114">
        <v>84.15</v>
      </c>
      <c r="I318" s="266">
        <f>I311</f>
        <v>25387</v>
      </c>
      <c r="J318" s="227">
        <v>109.43</v>
      </c>
      <c r="K318" s="225">
        <f>SUM(K311)</f>
        <v>31600</v>
      </c>
      <c r="L318" s="225">
        <f>SUM(L311)</f>
        <v>32967</v>
      </c>
      <c r="M318" s="225">
        <f>SUM(M311)</f>
        <v>31300</v>
      </c>
      <c r="N318" s="266">
        <f>N311</f>
        <v>3762.27</v>
      </c>
      <c r="O318" s="1173">
        <v>12800</v>
      </c>
      <c r="P318" s="225">
        <f>SUM(P311)</f>
        <v>18500</v>
      </c>
      <c r="Q318" s="1118">
        <f>Q311</f>
        <v>3497.9</v>
      </c>
      <c r="R318" s="1118">
        <f>R311</f>
        <v>18500</v>
      </c>
      <c r="S318" s="1118">
        <f>S311</f>
        <v>10553.319999999998</v>
      </c>
      <c r="T318" s="225">
        <f>SUM(T311)</f>
        <v>16000</v>
      </c>
      <c r="U318" s="226">
        <f>U311</f>
        <v>0</v>
      </c>
      <c r="V318" s="226">
        <f>V311</f>
        <v>17521.780000000002</v>
      </c>
      <c r="W318" s="1006">
        <f>V318/T318*100</f>
        <v>109.51112500000002</v>
      </c>
    </row>
    <row r="319" spans="1:22" ht="12.75">
      <c r="A319" s="1021"/>
      <c r="B319" s="110"/>
      <c r="C319" s="286"/>
      <c r="D319" s="287"/>
      <c r="E319" s="287"/>
      <c r="F319" s="287"/>
      <c r="G319" s="287"/>
      <c r="H319" s="1022"/>
      <c r="I319" s="28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V319" s="5"/>
    </row>
    <row r="320" spans="1:22" ht="12.75" hidden="1">
      <c r="A320" s="1021"/>
      <c r="B320" s="110"/>
      <c r="C320" s="286"/>
      <c r="D320" s="287"/>
      <c r="E320" s="287"/>
      <c r="F320" s="287"/>
      <c r="G320" s="287"/>
      <c r="H320" s="1022"/>
      <c r="I320" s="28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V320" s="5"/>
    </row>
    <row r="321" spans="1:22" ht="12.75" hidden="1">
      <c r="A321" s="1021"/>
      <c r="B321" s="110"/>
      <c r="C321" s="286"/>
      <c r="D321" s="287"/>
      <c r="E321" s="287"/>
      <c r="F321" s="287"/>
      <c r="G321" s="287"/>
      <c r="H321" s="1022"/>
      <c r="I321" s="28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V321" s="5"/>
    </row>
    <row r="322" spans="1:22" ht="12.75" hidden="1">
      <c r="A322" s="1021"/>
      <c r="B322" s="110"/>
      <c r="C322" s="286"/>
      <c r="D322" s="287"/>
      <c r="E322" s="287"/>
      <c r="F322" s="287"/>
      <c r="G322" s="287"/>
      <c r="H322" s="1022"/>
      <c r="I322" s="28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V322" s="5"/>
    </row>
    <row r="323" spans="1:22" ht="12.75" hidden="1">
      <c r="A323" s="1021"/>
      <c r="B323" s="110"/>
      <c r="C323" s="286"/>
      <c r="D323" s="287"/>
      <c r="E323" s="287"/>
      <c r="F323" s="287"/>
      <c r="G323" s="287"/>
      <c r="H323" s="1022"/>
      <c r="I323" s="28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V323" s="5"/>
    </row>
    <row r="324" spans="1:22" ht="12.75" hidden="1">
      <c r="A324" s="1021"/>
      <c r="B324" s="110"/>
      <c r="C324" s="286"/>
      <c r="D324" s="287"/>
      <c r="E324" s="287"/>
      <c r="F324" s="287"/>
      <c r="G324" s="287"/>
      <c r="H324" s="1022"/>
      <c r="I324" s="28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V324" s="5"/>
    </row>
    <row r="325" spans="1:22" ht="12.75" hidden="1">
      <c r="A325" s="1021"/>
      <c r="B325" s="110"/>
      <c r="C325" s="286"/>
      <c r="D325" s="287"/>
      <c r="E325" s="287"/>
      <c r="F325" s="287"/>
      <c r="G325" s="287"/>
      <c r="H325" s="1022"/>
      <c r="I325" s="28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V325" s="5"/>
    </row>
    <row r="326" spans="1:22" ht="12.75" hidden="1">
      <c r="A326" s="1021"/>
      <c r="B326" s="110"/>
      <c r="C326" s="286"/>
      <c r="D326" s="287"/>
      <c r="E326" s="287"/>
      <c r="F326" s="287"/>
      <c r="G326" s="287"/>
      <c r="H326" s="1022"/>
      <c r="I326" s="28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V326" s="5"/>
    </row>
    <row r="327" spans="1:22" ht="12.75" hidden="1">
      <c r="A327" s="1021"/>
      <c r="B327" s="110"/>
      <c r="C327" s="286"/>
      <c r="D327" s="287"/>
      <c r="E327" s="287"/>
      <c r="F327" s="287"/>
      <c r="G327" s="287"/>
      <c r="H327" s="1022"/>
      <c r="I327" s="28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V327" s="5"/>
    </row>
    <row r="328" spans="1:23" ht="12.75">
      <c r="A328" s="1021"/>
      <c r="B328" s="110"/>
      <c r="C328" s="286"/>
      <c r="D328" s="287"/>
      <c r="E328" s="287"/>
      <c r="F328" s="287"/>
      <c r="G328" s="287"/>
      <c r="H328" s="1022"/>
      <c r="I328" s="1629" t="s">
        <v>580</v>
      </c>
      <c r="J328" s="1629"/>
      <c r="K328" s="1629"/>
      <c r="L328" s="1629"/>
      <c r="M328" s="1629"/>
      <c r="N328" s="1629"/>
      <c r="O328" s="1629"/>
      <c r="P328" s="1629"/>
      <c r="Q328" s="1629"/>
      <c r="R328" s="1629"/>
      <c r="S328" s="1629"/>
      <c r="T328" s="1629"/>
      <c r="U328" s="1629"/>
      <c r="V328" s="1629"/>
      <c r="W328" s="1629"/>
    </row>
    <row r="329" spans="1:22" ht="12.75">
      <c r="A329" s="1021"/>
      <c r="B329" s="110"/>
      <c r="C329" s="286"/>
      <c r="D329" s="287"/>
      <c r="E329" s="287"/>
      <c r="F329" s="287"/>
      <c r="G329" s="287"/>
      <c r="H329" s="1022"/>
      <c r="I329" s="28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V329" s="5"/>
    </row>
    <row r="330" spans="1:23" s="1024" customFormat="1" ht="39.75" customHeight="1">
      <c r="A330" s="822" t="s">
        <v>414</v>
      </c>
      <c r="B330" s="823"/>
      <c r="C330" s="824"/>
      <c r="D330" s="1010" t="s">
        <v>13</v>
      </c>
      <c r="E330" s="1010" t="s">
        <v>14</v>
      </c>
      <c r="F330" s="827" t="s">
        <v>15</v>
      </c>
      <c r="G330" s="1010" t="s">
        <v>16</v>
      </c>
      <c r="H330" s="827" t="s">
        <v>15</v>
      </c>
      <c r="I330" s="1010" t="s">
        <v>17</v>
      </c>
      <c r="J330" s="827" t="s">
        <v>15</v>
      </c>
      <c r="K330" s="828" t="s">
        <v>20</v>
      </c>
      <c r="L330" s="829" t="s">
        <v>18</v>
      </c>
      <c r="M330" s="830">
        <v>2012</v>
      </c>
      <c r="N330" s="1062" t="s">
        <v>537</v>
      </c>
      <c r="O330" s="828" t="s">
        <v>20</v>
      </c>
      <c r="P330" s="828" t="s">
        <v>21</v>
      </c>
      <c r="Q330" s="21" t="s">
        <v>22</v>
      </c>
      <c r="R330" s="21" t="s">
        <v>436</v>
      </c>
      <c r="S330" s="21" t="s">
        <v>23</v>
      </c>
      <c r="T330" s="20" t="s">
        <v>24</v>
      </c>
      <c r="U330" s="19" t="s">
        <v>437</v>
      </c>
      <c r="V330" s="22" t="s">
        <v>26</v>
      </c>
      <c r="W330" s="827" t="s">
        <v>15</v>
      </c>
    </row>
    <row r="331" spans="1:23" s="289" customFormat="1" ht="11.25">
      <c r="A331" s="834" t="s">
        <v>581</v>
      </c>
      <c r="B331" s="1087"/>
      <c r="C331" s="1087"/>
      <c r="D331" s="83">
        <f>D332+D333+D334+D335+D336+D337</f>
        <v>21500</v>
      </c>
      <c r="E331" s="83">
        <v>4553</v>
      </c>
      <c r="F331" s="84">
        <v>21.18</v>
      </c>
      <c r="G331" s="83">
        <v>8858</v>
      </c>
      <c r="H331" s="86">
        <v>41.2</v>
      </c>
      <c r="I331" s="83">
        <f>I332+I333+I334+I335+I336+I337</f>
        <v>12762</v>
      </c>
      <c r="J331" s="984">
        <v>59.36</v>
      </c>
      <c r="K331" s="982">
        <f>SUM(K332,K333,K334,K335,K336,K337)</f>
        <v>20500</v>
      </c>
      <c r="L331" s="982">
        <f>SUM(L332,L333,L334,L335,L336,L337)</f>
        <v>24399</v>
      </c>
      <c r="M331" s="982">
        <f>SUM(M332,M333,M334,M335,M336,M337)</f>
        <v>23150</v>
      </c>
      <c r="N331" s="83">
        <f>N332+N333+N334+N335+N336+N337</f>
        <v>940.4100000000001</v>
      </c>
      <c r="O331" s="1171">
        <f>O332-O333</f>
        <v>4850</v>
      </c>
      <c r="P331" s="982">
        <f>SUM(P332,P333,P334,P335,P336,P337)</f>
        <v>18300</v>
      </c>
      <c r="Q331" s="983">
        <f>SUM(Q332:Q337)</f>
        <v>7157.83</v>
      </c>
      <c r="R331" s="983">
        <f>R332+R333+R334+R335+R336+R337</f>
        <v>18300</v>
      </c>
      <c r="S331" s="983">
        <f>SUM(S332:S337)</f>
        <v>14634.65</v>
      </c>
      <c r="T331" s="983">
        <f>SUM(T332,T333,T334,T335,T336,T337)</f>
        <v>20000</v>
      </c>
      <c r="U331" s="1026">
        <f>U334+U337</f>
        <v>1700</v>
      </c>
      <c r="V331" s="983">
        <f>SUM(V332:V337)</f>
        <v>22417.88</v>
      </c>
      <c r="W331" s="843">
        <f>V331/T331*100</f>
        <v>112.08940000000001</v>
      </c>
    </row>
    <row r="332" spans="1:23" s="5" customFormat="1" ht="12.75">
      <c r="A332" s="1068">
        <v>632</v>
      </c>
      <c r="B332" s="1069"/>
      <c r="C332" s="1107" t="s">
        <v>170</v>
      </c>
      <c r="D332" s="173">
        <v>12000</v>
      </c>
      <c r="E332" s="62">
        <v>4371</v>
      </c>
      <c r="F332" s="173"/>
      <c r="G332" s="62">
        <v>8227</v>
      </c>
      <c r="H332" s="92"/>
      <c r="I332" s="62">
        <v>10755</v>
      </c>
      <c r="J332" s="61"/>
      <c r="K332" s="62">
        <v>12000</v>
      </c>
      <c r="L332" s="131">
        <v>15256</v>
      </c>
      <c r="M332" s="62">
        <v>15000</v>
      </c>
      <c r="N332" s="62">
        <v>630.36</v>
      </c>
      <c r="O332" s="977">
        <v>5000</v>
      </c>
      <c r="P332" s="62">
        <v>10000</v>
      </c>
      <c r="Q332" s="66">
        <v>3277.18</v>
      </c>
      <c r="R332" s="66">
        <v>8000</v>
      </c>
      <c r="S332" s="66">
        <v>5930.15</v>
      </c>
      <c r="T332" s="186">
        <v>8000</v>
      </c>
      <c r="U332" s="1125"/>
      <c r="V332" s="66">
        <v>8520.82</v>
      </c>
      <c r="W332" s="44"/>
    </row>
    <row r="333" spans="1:23" s="33" customFormat="1" ht="12.75">
      <c r="A333" s="1068">
        <v>633</v>
      </c>
      <c r="B333" s="1069"/>
      <c r="C333" s="1107" t="s">
        <v>172</v>
      </c>
      <c r="D333" s="173">
        <v>1000</v>
      </c>
      <c r="E333" s="62">
        <v>105</v>
      </c>
      <c r="F333" s="173"/>
      <c r="G333" s="62">
        <v>120</v>
      </c>
      <c r="H333" s="92"/>
      <c r="I333" s="62">
        <v>120</v>
      </c>
      <c r="J333" s="61"/>
      <c r="K333" s="131">
        <v>500</v>
      </c>
      <c r="L333" s="131">
        <v>182</v>
      </c>
      <c r="M333" s="62">
        <v>150</v>
      </c>
      <c r="N333" s="62">
        <v>152.55</v>
      </c>
      <c r="O333" s="949">
        <v>150</v>
      </c>
      <c r="P333" s="62">
        <v>300</v>
      </c>
      <c r="Q333" s="186">
        <v>227.2</v>
      </c>
      <c r="R333" s="186">
        <v>300</v>
      </c>
      <c r="S333" s="186">
        <v>256.62</v>
      </c>
      <c r="T333" s="186">
        <v>300</v>
      </c>
      <c r="U333" s="131"/>
      <c r="V333" s="186">
        <v>425.84</v>
      </c>
      <c r="W333" s="169"/>
    </row>
    <row r="334" spans="1:23" ht="12.75">
      <c r="A334" s="1068">
        <v>634</v>
      </c>
      <c r="B334" s="1069"/>
      <c r="C334" s="1107" t="s">
        <v>321</v>
      </c>
      <c r="D334" s="173">
        <v>5000</v>
      </c>
      <c r="E334" s="62">
        <v>44</v>
      </c>
      <c r="F334" s="173"/>
      <c r="G334" s="62">
        <v>236</v>
      </c>
      <c r="H334" s="92"/>
      <c r="I334" s="62">
        <v>394</v>
      </c>
      <c r="J334" s="61"/>
      <c r="K334" s="62">
        <v>5000</v>
      </c>
      <c r="L334" s="131">
        <v>5565</v>
      </c>
      <c r="M334" s="62">
        <v>5000</v>
      </c>
      <c r="N334" s="62"/>
      <c r="O334" s="131"/>
      <c r="P334" s="62">
        <v>5000</v>
      </c>
      <c r="Q334" s="186">
        <v>3341.39</v>
      </c>
      <c r="R334" s="186">
        <v>5000</v>
      </c>
      <c r="S334" s="186">
        <v>3919.82</v>
      </c>
      <c r="T334" s="186">
        <v>6100</v>
      </c>
      <c r="U334" s="987">
        <v>1100</v>
      </c>
      <c r="V334" s="186">
        <v>6879.54</v>
      </c>
      <c r="W334" s="292"/>
    </row>
    <row r="335" spans="1:23" ht="12.75">
      <c r="A335" s="1068">
        <v>635</v>
      </c>
      <c r="B335" s="1069"/>
      <c r="C335" s="1107" t="s">
        <v>272</v>
      </c>
      <c r="D335" s="173">
        <v>1000</v>
      </c>
      <c r="E335" s="62">
        <v>33</v>
      </c>
      <c r="F335" s="173"/>
      <c r="G335" s="62">
        <v>275</v>
      </c>
      <c r="H335" s="92"/>
      <c r="I335" s="62">
        <v>493</v>
      </c>
      <c r="J335" s="61"/>
      <c r="K335" s="131">
        <v>500</v>
      </c>
      <c r="L335" s="131">
        <v>1416</v>
      </c>
      <c r="M335" s="62">
        <v>500</v>
      </c>
      <c r="N335" s="62"/>
      <c r="O335" s="131"/>
      <c r="P335" s="62">
        <v>500</v>
      </c>
      <c r="Q335" s="186">
        <v>154.56</v>
      </c>
      <c r="R335" s="186">
        <v>500</v>
      </c>
      <c r="S335" s="186">
        <v>170.56</v>
      </c>
      <c r="T335" s="186">
        <v>500</v>
      </c>
      <c r="U335" s="131"/>
      <c r="V335" s="186">
        <v>468.29</v>
      </c>
      <c r="W335" s="61"/>
    </row>
    <row r="336" spans="1:23" ht="12.75">
      <c r="A336" s="1068">
        <v>637</v>
      </c>
      <c r="B336" s="1069"/>
      <c r="C336" s="1107" t="s">
        <v>180</v>
      </c>
      <c r="D336" s="173">
        <v>500</v>
      </c>
      <c r="E336" s="62">
        <v>0</v>
      </c>
      <c r="F336" s="173"/>
      <c r="G336" s="62">
        <v>0</v>
      </c>
      <c r="H336" s="92"/>
      <c r="I336" s="62">
        <v>0</v>
      </c>
      <c r="J336" s="61"/>
      <c r="K336" s="131">
        <v>500</v>
      </c>
      <c r="L336" s="131">
        <v>0</v>
      </c>
      <c r="M336" s="62">
        <v>500</v>
      </c>
      <c r="N336" s="62"/>
      <c r="O336" s="131"/>
      <c r="P336" s="62">
        <v>500</v>
      </c>
      <c r="Q336" s="186">
        <v>0</v>
      </c>
      <c r="R336" s="186">
        <v>0</v>
      </c>
      <c r="S336" s="186">
        <v>0</v>
      </c>
      <c r="T336" s="186">
        <v>0</v>
      </c>
      <c r="U336" s="1125"/>
      <c r="V336" s="186">
        <v>0</v>
      </c>
      <c r="W336" s="61"/>
    </row>
    <row r="337" spans="1:23" ht="12.75">
      <c r="A337" s="1068">
        <v>642</v>
      </c>
      <c r="B337" s="1069"/>
      <c r="C337" s="1107" t="s">
        <v>582</v>
      </c>
      <c r="D337" s="173">
        <v>2000</v>
      </c>
      <c r="E337" s="62">
        <v>0</v>
      </c>
      <c r="F337" s="173"/>
      <c r="G337" s="62">
        <v>0</v>
      </c>
      <c r="H337" s="92"/>
      <c r="I337" s="62">
        <v>1000</v>
      </c>
      <c r="J337" s="61"/>
      <c r="K337" s="62">
        <v>2000</v>
      </c>
      <c r="L337" s="131">
        <v>1980</v>
      </c>
      <c r="M337" s="62">
        <v>2000</v>
      </c>
      <c r="N337" s="62">
        <v>157.5</v>
      </c>
      <c r="O337" s="131"/>
      <c r="P337" s="62">
        <v>2000</v>
      </c>
      <c r="Q337" s="186">
        <v>157.5</v>
      </c>
      <c r="R337" s="186">
        <v>4500</v>
      </c>
      <c r="S337" s="186">
        <v>4357.5</v>
      </c>
      <c r="T337" s="186">
        <v>5100</v>
      </c>
      <c r="U337" s="117">
        <v>600</v>
      </c>
      <c r="V337" s="186">
        <v>6123.39</v>
      </c>
      <c r="W337" s="292"/>
    </row>
    <row r="338" spans="1:23" s="289" customFormat="1" ht="12.75" customHeight="1">
      <c r="A338" s="834" t="s">
        <v>583</v>
      </c>
      <c r="B338" s="1087"/>
      <c r="C338" s="1088"/>
      <c r="D338" s="1079">
        <f>D339+D340+D341</f>
        <v>33100</v>
      </c>
      <c r="E338" s="1079">
        <v>9971</v>
      </c>
      <c r="F338" s="1174">
        <v>30.12</v>
      </c>
      <c r="G338" s="1079">
        <v>20044</v>
      </c>
      <c r="H338" s="1175">
        <v>60.56</v>
      </c>
      <c r="I338" s="133">
        <f>I339+I340+I341+I357+I345+I353+I354</f>
        <v>29867</v>
      </c>
      <c r="J338" s="1176">
        <v>90.23</v>
      </c>
      <c r="K338" s="1177">
        <f>SUM(K339,K340,K341,K357)</f>
        <v>33457</v>
      </c>
      <c r="L338" s="1177">
        <f>SUM(L339,L340,L341,L357)</f>
        <v>39750</v>
      </c>
      <c r="M338" s="1177">
        <f>SUM(M339,M340,M341,M357)</f>
        <v>31800</v>
      </c>
      <c r="N338" s="133">
        <f>N339+N340+N341</f>
        <v>6287.04</v>
      </c>
      <c r="O338" s="1178">
        <v>2000</v>
      </c>
      <c r="P338" s="1177">
        <f>SUM(P339,P340,P341,P357)</f>
        <v>29800</v>
      </c>
      <c r="Q338" s="1179">
        <f>Q339+Q340+Q341</f>
        <v>15171.579999999998</v>
      </c>
      <c r="R338" s="1179">
        <f>R339+R340+R341</f>
        <v>29800</v>
      </c>
      <c r="S338" s="1179">
        <f>S339+S340+S341</f>
        <v>25779.85</v>
      </c>
      <c r="T338" s="1179">
        <f>SUM(T339,T340,T341,T357)</f>
        <v>34700</v>
      </c>
      <c r="U338" s="1180">
        <f>U344+U345+U347+U356+U354+U352+U351+U346+U355-U343</f>
        <v>4900</v>
      </c>
      <c r="V338" s="1179">
        <f>V339+V340+V341</f>
        <v>34416.770000000004</v>
      </c>
      <c r="W338" s="843">
        <f>V338/T338*100</f>
        <v>99.18377521613834</v>
      </c>
    </row>
    <row r="339" spans="1:23" ht="12.75" customHeight="1">
      <c r="A339" s="1181">
        <v>610</v>
      </c>
      <c r="B339" s="1182"/>
      <c r="C339" s="1183" t="s">
        <v>439</v>
      </c>
      <c r="D339" s="63">
        <v>14500</v>
      </c>
      <c r="E339" s="63">
        <v>5121</v>
      </c>
      <c r="F339" s="63"/>
      <c r="G339" s="63">
        <v>9944</v>
      </c>
      <c r="H339" s="92"/>
      <c r="I339" s="63">
        <v>13849</v>
      </c>
      <c r="J339" s="90"/>
      <c r="K339" s="63">
        <v>14500</v>
      </c>
      <c r="L339" s="63">
        <v>17066</v>
      </c>
      <c r="M339" s="63">
        <v>14000</v>
      </c>
      <c r="N339" s="1184">
        <v>4136.81</v>
      </c>
      <c r="O339" s="63"/>
      <c r="P339" s="63">
        <v>14000</v>
      </c>
      <c r="Q339" s="66">
        <v>8186.11</v>
      </c>
      <c r="R339" s="66">
        <v>14000</v>
      </c>
      <c r="S339" s="66">
        <v>10723.62</v>
      </c>
      <c r="T339" s="186">
        <v>14000</v>
      </c>
      <c r="U339" s="131"/>
      <c r="V339" s="66">
        <v>13277.75</v>
      </c>
      <c r="W339" s="61"/>
    </row>
    <row r="340" spans="1:23" s="33" customFormat="1" ht="12.75">
      <c r="A340" s="1181">
        <v>620</v>
      </c>
      <c r="B340" s="1069"/>
      <c r="C340" s="1069" t="s">
        <v>166</v>
      </c>
      <c r="D340" s="63">
        <v>5100</v>
      </c>
      <c r="E340" s="63">
        <v>1774</v>
      </c>
      <c r="F340" s="63"/>
      <c r="G340" s="63">
        <v>2969</v>
      </c>
      <c r="H340" s="92"/>
      <c r="I340" s="63">
        <v>4586</v>
      </c>
      <c r="J340" s="90"/>
      <c r="K340" s="63">
        <v>5100</v>
      </c>
      <c r="L340" s="63">
        <v>6280</v>
      </c>
      <c r="M340" s="63">
        <v>4400</v>
      </c>
      <c r="N340" s="1184">
        <v>1327.78</v>
      </c>
      <c r="O340" s="63"/>
      <c r="P340" s="63">
        <v>4400</v>
      </c>
      <c r="Q340" s="66">
        <v>2767.42</v>
      </c>
      <c r="R340" s="66">
        <v>4400</v>
      </c>
      <c r="S340" s="66">
        <v>3709.57</v>
      </c>
      <c r="T340" s="186">
        <v>4400</v>
      </c>
      <c r="U340" s="131"/>
      <c r="V340" s="66">
        <v>4756.58</v>
      </c>
      <c r="W340" s="169"/>
    </row>
    <row r="341" spans="1:23" ht="12.75" customHeight="1">
      <c r="A341" s="1185">
        <v>630</v>
      </c>
      <c r="B341" s="1107"/>
      <c r="C341" s="1107" t="s">
        <v>337</v>
      </c>
      <c r="D341" s="63">
        <f>D342+D343+D344+D350+D352+D355</f>
        <v>13500</v>
      </c>
      <c r="E341" s="63">
        <v>3076</v>
      </c>
      <c r="F341" s="63"/>
      <c r="G341" s="63">
        <v>7131</v>
      </c>
      <c r="H341" s="92"/>
      <c r="I341" s="63">
        <f>I342+I343+I344+I350+I352+I355</f>
        <v>9715</v>
      </c>
      <c r="J341" s="978"/>
      <c r="K341" s="62">
        <f>SUM(K342,K343,K344,K350,K352,K353,K354,K355)</f>
        <v>12790</v>
      </c>
      <c r="L341" s="62">
        <f>L342+L343+L344+L345+L350+L352+L353+L354+L355</f>
        <v>15337</v>
      </c>
      <c r="M341" s="62">
        <f>SUM(M342,M343,M344,M350,M352,M353,M354,M355)</f>
        <v>13400</v>
      </c>
      <c r="N341" s="1184">
        <f>N342+N343+N344+N350+N352+N353+N354+N355+N357</f>
        <v>822.4499999999999</v>
      </c>
      <c r="O341" s="62"/>
      <c r="P341" s="62">
        <f>SUM(P342,P343,P344,P350,P352,P353,P354,P355)</f>
        <v>11400</v>
      </c>
      <c r="Q341" s="186">
        <f>SUM(Q343:Q355)</f>
        <v>4218.05</v>
      </c>
      <c r="R341" s="186">
        <f>R342+R343+R344+R350+R352+R355</f>
        <v>11400</v>
      </c>
      <c r="S341" s="186">
        <f>S342+S343+S344+S347+S350+S352+S353+S354+S355+S356+S357+S345</f>
        <v>11346.659999999996</v>
      </c>
      <c r="T341" s="186">
        <f>T342+T343+T344+T345+T347+T350+T352+T353+T354+T355+T356+T357+T346+T351</f>
        <v>16300</v>
      </c>
      <c r="U341" s="62"/>
      <c r="V341" s="186">
        <f>V342+V343+V344+V345+V347+V348+V349+V350+V351+V352+V353+V354+V355+V356+V357</f>
        <v>16382.439999999999</v>
      </c>
      <c r="W341" s="61"/>
    </row>
    <row r="342" spans="1:23" ht="12.75">
      <c r="A342" s="34" t="s">
        <v>442</v>
      </c>
      <c r="B342" s="35"/>
      <c r="C342" s="35" t="s">
        <v>168</v>
      </c>
      <c r="D342" s="276">
        <v>0</v>
      </c>
      <c r="E342" s="276">
        <v>0</v>
      </c>
      <c r="F342" s="276"/>
      <c r="G342" s="276">
        <v>0</v>
      </c>
      <c r="H342" s="92"/>
      <c r="I342" s="276">
        <v>0</v>
      </c>
      <c r="J342" s="61"/>
      <c r="K342" s="253">
        <v>0</v>
      </c>
      <c r="L342" s="954">
        <v>0</v>
      </c>
      <c r="M342" s="276">
        <v>0</v>
      </c>
      <c r="N342" s="276">
        <v>0</v>
      </c>
      <c r="O342" s="131"/>
      <c r="P342" s="276">
        <v>0</v>
      </c>
      <c r="Q342" s="976">
        <v>0</v>
      </c>
      <c r="R342" s="976">
        <v>0</v>
      </c>
      <c r="S342" s="976">
        <v>0</v>
      </c>
      <c r="T342" s="976">
        <v>0</v>
      </c>
      <c r="U342" s="131"/>
      <c r="V342" s="976">
        <v>0</v>
      </c>
      <c r="W342" s="61"/>
    </row>
    <row r="343" spans="1:23" ht="12.75">
      <c r="A343" s="34">
        <v>632</v>
      </c>
      <c r="B343" s="35"/>
      <c r="C343" s="35" t="s">
        <v>443</v>
      </c>
      <c r="D343" s="276">
        <v>10000</v>
      </c>
      <c r="E343" s="276">
        <v>2864</v>
      </c>
      <c r="F343" s="276"/>
      <c r="G343" s="276">
        <v>6431</v>
      </c>
      <c r="H343" s="92"/>
      <c r="I343" s="276">
        <v>8645</v>
      </c>
      <c r="J343" s="61"/>
      <c r="K343" s="276">
        <v>10000</v>
      </c>
      <c r="L343" s="954">
        <v>13016</v>
      </c>
      <c r="M343" s="276">
        <v>12000</v>
      </c>
      <c r="N343" s="276">
        <v>203.01</v>
      </c>
      <c r="O343" s="977">
        <v>2000</v>
      </c>
      <c r="P343" s="276">
        <v>10000</v>
      </c>
      <c r="Q343" s="976">
        <v>2830.06</v>
      </c>
      <c r="R343" s="976">
        <v>10000</v>
      </c>
      <c r="S343" s="976">
        <v>5465.58</v>
      </c>
      <c r="T343" s="976">
        <v>7000</v>
      </c>
      <c r="U343" s="950">
        <v>3000</v>
      </c>
      <c r="V343" s="976">
        <v>8009.03</v>
      </c>
      <c r="W343" s="61"/>
    </row>
    <row r="344" spans="1:23" ht="12.75">
      <c r="A344" s="45">
        <v>633</v>
      </c>
      <c r="B344" s="46"/>
      <c r="C344" s="46" t="s">
        <v>172</v>
      </c>
      <c r="D344" s="276">
        <v>2000</v>
      </c>
      <c r="E344" s="276">
        <v>137</v>
      </c>
      <c r="F344" s="276"/>
      <c r="G344" s="276">
        <v>232</v>
      </c>
      <c r="H344" s="92"/>
      <c r="I344" s="276">
        <v>322</v>
      </c>
      <c r="J344" s="61"/>
      <c r="K344" s="276">
        <v>1200</v>
      </c>
      <c r="L344" s="954">
        <v>699</v>
      </c>
      <c r="M344" s="276">
        <v>400</v>
      </c>
      <c r="N344" s="276">
        <v>306.09</v>
      </c>
      <c r="O344" s="131"/>
      <c r="P344" s="276">
        <v>400</v>
      </c>
      <c r="Q344" s="976">
        <v>580.12</v>
      </c>
      <c r="R344" s="976">
        <v>400</v>
      </c>
      <c r="S344" s="976">
        <v>530.29</v>
      </c>
      <c r="T344" s="976">
        <v>600</v>
      </c>
      <c r="U344" s="987">
        <v>200</v>
      </c>
      <c r="V344" s="976">
        <v>727.75</v>
      </c>
      <c r="W344" s="61"/>
    </row>
    <row r="345" spans="1:23" ht="12.75">
      <c r="A345" s="852">
        <v>633</v>
      </c>
      <c r="B345" s="920" t="s">
        <v>73</v>
      </c>
      <c r="C345" s="920" t="s">
        <v>584</v>
      </c>
      <c r="D345" s="996"/>
      <c r="E345" s="996"/>
      <c r="F345" s="996"/>
      <c r="G345" s="996"/>
      <c r="H345" s="942"/>
      <c r="I345" s="996">
        <v>166</v>
      </c>
      <c r="J345" s="61"/>
      <c r="K345" s="1080">
        <v>200</v>
      </c>
      <c r="L345" s="924">
        <v>166</v>
      </c>
      <c r="M345" s="996">
        <v>0</v>
      </c>
      <c r="N345" s="958">
        <v>0</v>
      </c>
      <c r="O345" s="131"/>
      <c r="P345" s="958">
        <v>0</v>
      </c>
      <c r="Q345" s="1138">
        <v>0</v>
      </c>
      <c r="R345" s="1138"/>
      <c r="S345" s="959">
        <v>200</v>
      </c>
      <c r="T345" s="959">
        <v>200</v>
      </c>
      <c r="U345" s="987">
        <v>200</v>
      </c>
      <c r="V345" s="959">
        <v>249.23</v>
      </c>
      <c r="W345" s="61"/>
    </row>
    <row r="346" spans="1:23" ht="12.75">
      <c r="A346" s="45">
        <v>633</v>
      </c>
      <c r="B346" s="46" t="s">
        <v>459</v>
      </c>
      <c r="C346" s="1186" t="s">
        <v>331</v>
      </c>
      <c r="D346" s="996"/>
      <c r="E346" s="996"/>
      <c r="F346" s="996"/>
      <c r="G346" s="996"/>
      <c r="H346" s="942"/>
      <c r="I346" s="996"/>
      <c r="J346" s="61"/>
      <c r="K346" s="1080"/>
      <c r="L346" s="924"/>
      <c r="M346" s="996"/>
      <c r="N346" s="958"/>
      <c r="O346" s="131"/>
      <c r="P346" s="958"/>
      <c r="Q346" s="1138"/>
      <c r="R346" s="1138"/>
      <c r="S346" s="959"/>
      <c r="T346" s="976">
        <v>500</v>
      </c>
      <c r="U346" s="987">
        <v>500</v>
      </c>
      <c r="V346" s="959"/>
      <c r="W346" s="61"/>
    </row>
    <row r="347" spans="1:23" ht="12.75">
      <c r="A347" s="45">
        <v>633</v>
      </c>
      <c r="B347" s="844" t="s">
        <v>459</v>
      </c>
      <c r="C347" s="1187" t="s">
        <v>585</v>
      </c>
      <c r="D347" s="276"/>
      <c r="E347" s="276"/>
      <c r="F347" s="276"/>
      <c r="G347" s="276"/>
      <c r="H347" s="92"/>
      <c r="I347" s="276"/>
      <c r="J347" s="61"/>
      <c r="K347" s="253"/>
      <c r="L347" s="954"/>
      <c r="M347" s="276"/>
      <c r="N347" s="69"/>
      <c r="O347" s="131"/>
      <c r="P347" s="69"/>
      <c r="Q347" s="70"/>
      <c r="R347" s="70"/>
      <c r="S347" s="976">
        <v>2542</v>
      </c>
      <c r="T347" s="976">
        <v>4000</v>
      </c>
      <c r="U347" s="987">
        <v>4000</v>
      </c>
      <c r="V347" s="976">
        <v>2542</v>
      </c>
      <c r="W347" s="61"/>
    </row>
    <row r="348" spans="1:23" ht="12.75">
      <c r="A348" s="45">
        <v>637</v>
      </c>
      <c r="B348" s="844" t="s">
        <v>55</v>
      </c>
      <c r="C348" s="1187" t="s">
        <v>586</v>
      </c>
      <c r="D348" s="276"/>
      <c r="E348" s="276"/>
      <c r="F348" s="276"/>
      <c r="G348" s="276"/>
      <c r="H348" s="92"/>
      <c r="I348" s="276"/>
      <c r="J348" s="61"/>
      <c r="K348" s="253"/>
      <c r="L348" s="954"/>
      <c r="M348" s="276"/>
      <c r="N348" s="69"/>
      <c r="O348" s="131"/>
      <c r="P348" s="69"/>
      <c r="Q348" s="70"/>
      <c r="R348" s="70"/>
      <c r="S348" s="976"/>
      <c r="T348" s="976"/>
      <c r="U348" s="987"/>
      <c r="V348" s="976">
        <v>486.38</v>
      </c>
      <c r="W348" s="61"/>
    </row>
    <row r="349" spans="1:23" ht="12.75">
      <c r="A349" s="45">
        <v>637</v>
      </c>
      <c r="B349" s="844" t="s">
        <v>55</v>
      </c>
      <c r="C349" s="1187" t="s">
        <v>587</v>
      </c>
      <c r="D349" s="276"/>
      <c r="E349" s="276"/>
      <c r="F349" s="276"/>
      <c r="G349" s="276"/>
      <c r="H349" s="92"/>
      <c r="I349" s="276"/>
      <c r="J349" s="61"/>
      <c r="K349" s="253"/>
      <c r="L349" s="954"/>
      <c r="M349" s="276"/>
      <c r="N349" s="69"/>
      <c r="O349" s="131"/>
      <c r="P349" s="69"/>
      <c r="Q349" s="70"/>
      <c r="R349" s="70"/>
      <c r="S349" s="976"/>
      <c r="T349" s="976"/>
      <c r="U349" s="987"/>
      <c r="V349" s="976">
        <v>663.44</v>
      </c>
      <c r="W349" s="61"/>
    </row>
    <row r="350" spans="1:23" ht="12.75">
      <c r="A350" s="45">
        <v>634</v>
      </c>
      <c r="B350" s="46"/>
      <c r="C350" s="46" t="s">
        <v>174</v>
      </c>
      <c r="D350" s="276">
        <v>500</v>
      </c>
      <c r="E350" s="276">
        <v>30</v>
      </c>
      <c r="F350" s="276"/>
      <c r="G350" s="276">
        <v>119</v>
      </c>
      <c r="H350" s="92"/>
      <c r="I350" s="276">
        <v>162</v>
      </c>
      <c r="J350" s="61"/>
      <c r="K350" s="253">
        <v>400</v>
      </c>
      <c r="L350" s="954">
        <v>336</v>
      </c>
      <c r="M350" s="276">
        <v>200</v>
      </c>
      <c r="N350" s="276">
        <v>15.06</v>
      </c>
      <c r="O350" s="131"/>
      <c r="P350" s="276">
        <v>200</v>
      </c>
      <c r="Q350" s="976">
        <v>60.08</v>
      </c>
      <c r="R350" s="976">
        <v>200</v>
      </c>
      <c r="S350" s="976">
        <v>110.15</v>
      </c>
      <c r="T350" s="976">
        <v>200</v>
      </c>
      <c r="U350" s="851"/>
      <c r="V350" s="976"/>
      <c r="W350" s="61"/>
    </row>
    <row r="351" spans="1:23" ht="12.75">
      <c r="A351" s="45">
        <v>634</v>
      </c>
      <c r="B351" s="46" t="s">
        <v>55</v>
      </c>
      <c r="C351" s="1186" t="s">
        <v>321</v>
      </c>
      <c r="D351" s="276"/>
      <c r="E351" s="276"/>
      <c r="F351" s="276"/>
      <c r="G351" s="276"/>
      <c r="H351" s="92"/>
      <c r="I351" s="276"/>
      <c r="J351" s="61"/>
      <c r="K351" s="253"/>
      <c r="L351" s="954"/>
      <c r="M351" s="276"/>
      <c r="N351" s="276"/>
      <c r="O351" s="131"/>
      <c r="P351" s="276"/>
      <c r="Q351" s="976"/>
      <c r="R351" s="976"/>
      <c r="S351" s="976"/>
      <c r="T351" s="976">
        <v>500</v>
      </c>
      <c r="U351" s="987">
        <v>500</v>
      </c>
      <c r="V351" s="976">
        <v>713.08</v>
      </c>
      <c r="W351" s="61"/>
    </row>
    <row r="352" spans="1:23" ht="12.75">
      <c r="A352" s="45">
        <v>635</v>
      </c>
      <c r="B352" s="46"/>
      <c r="C352" s="1186" t="s">
        <v>272</v>
      </c>
      <c r="D352" s="276">
        <v>500</v>
      </c>
      <c r="E352" s="276">
        <v>0</v>
      </c>
      <c r="F352" s="276"/>
      <c r="G352" s="276">
        <v>23</v>
      </c>
      <c r="H352" s="92"/>
      <c r="I352" s="276">
        <v>112</v>
      </c>
      <c r="J352" s="61"/>
      <c r="K352" s="253">
        <v>200</v>
      </c>
      <c r="L352" s="954">
        <v>112</v>
      </c>
      <c r="M352" s="276">
        <v>300</v>
      </c>
      <c r="N352" s="276">
        <v>245.49</v>
      </c>
      <c r="O352" s="131"/>
      <c r="P352" s="276">
        <v>300</v>
      </c>
      <c r="Q352" s="976">
        <v>245.49</v>
      </c>
      <c r="R352" s="976">
        <v>300</v>
      </c>
      <c r="S352" s="976">
        <v>257.96</v>
      </c>
      <c r="T352" s="976">
        <v>400</v>
      </c>
      <c r="U352" s="987">
        <v>100</v>
      </c>
      <c r="V352" s="976">
        <v>399.08</v>
      </c>
      <c r="W352" s="61"/>
    </row>
    <row r="353" spans="1:23" ht="12.75">
      <c r="A353" s="852">
        <v>636</v>
      </c>
      <c r="B353" s="920" t="s">
        <v>34</v>
      </c>
      <c r="C353" s="920" t="s">
        <v>588</v>
      </c>
      <c r="D353" s="996"/>
      <c r="E353" s="996"/>
      <c r="F353" s="996"/>
      <c r="G353" s="996"/>
      <c r="H353" s="92"/>
      <c r="I353" s="996">
        <v>218</v>
      </c>
      <c r="J353" s="61"/>
      <c r="K353" s="1080">
        <v>220</v>
      </c>
      <c r="L353" s="924">
        <v>218</v>
      </c>
      <c r="M353" s="276">
        <v>0</v>
      </c>
      <c r="N353" s="958">
        <v>0</v>
      </c>
      <c r="O353" s="131"/>
      <c r="P353" s="276">
        <v>0</v>
      </c>
      <c r="Q353" s="976">
        <v>0</v>
      </c>
      <c r="R353" s="976"/>
      <c r="S353" s="976">
        <v>0</v>
      </c>
      <c r="T353" s="976">
        <v>0</v>
      </c>
      <c r="U353" s="851"/>
      <c r="V353" s="976">
        <v>0</v>
      </c>
      <c r="W353" s="61"/>
    </row>
    <row r="354" spans="1:23" ht="12.75">
      <c r="A354" s="963">
        <v>637</v>
      </c>
      <c r="B354" s="964"/>
      <c r="C354" s="964" t="s">
        <v>180</v>
      </c>
      <c r="D354" s="996"/>
      <c r="E354" s="996"/>
      <c r="F354" s="996"/>
      <c r="G354" s="996"/>
      <c r="H354" s="92"/>
      <c r="I354" s="996">
        <v>266</v>
      </c>
      <c r="J354" s="61"/>
      <c r="K354" s="1080">
        <v>270</v>
      </c>
      <c r="L354" s="924">
        <v>266</v>
      </c>
      <c r="M354" s="276">
        <v>0</v>
      </c>
      <c r="N354" s="958">
        <v>0</v>
      </c>
      <c r="O354" s="131"/>
      <c r="P354" s="276">
        <v>0</v>
      </c>
      <c r="Q354" s="976">
        <v>0</v>
      </c>
      <c r="R354" s="976"/>
      <c r="S354" s="976">
        <v>0</v>
      </c>
      <c r="T354" s="959">
        <v>200</v>
      </c>
      <c r="U354" s="987">
        <v>200</v>
      </c>
      <c r="V354" s="959">
        <v>150.77</v>
      </c>
      <c r="W354" s="61"/>
    </row>
    <row r="355" spans="1:23" ht="12.75">
      <c r="A355" s="1554">
        <v>637</v>
      </c>
      <c r="B355" s="1555"/>
      <c r="C355" s="1556" t="s">
        <v>180</v>
      </c>
      <c r="D355" s="1094">
        <v>500</v>
      </c>
      <c r="E355" s="276">
        <v>45</v>
      </c>
      <c r="F355" s="276"/>
      <c r="G355" s="276">
        <v>326</v>
      </c>
      <c r="H355" s="92"/>
      <c r="I355" s="276">
        <v>474</v>
      </c>
      <c r="J355" s="61"/>
      <c r="K355" s="253">
        <v>500</v>
      </c>
      <c r="L355" s="954">
        <v>524</v>
      </c>
      <c r="M355" s="276">
        <v>500</v>
      </c>
      <c r="N355" s="276">
        <v>52.8</v>
      </c>
      <c r="O355" s="131"/>
      <c r="P355" s="276">
        <v>500</v>
      </c>
      <c r="Q355" s="976">
        <v>502.3</v>
      </c>
      <c r="R355" s="976">
        <v>500</v>
      </c>
      <c r="S355" s="976">
        <v>272.3</v>
      </c>
      <c r="T355" s="976">
        <v>700</v>
      </c>
      <c r="U355" s="987">
        <v>200</v>
      </c>
      <c r="V355" s="976">
        <v>272.3</v>
      </c>
      <c r="W355" s="61"/>
    </row>
    <row r="356" spans="1:23" ht="12.75">
      <c r="A356" s="72">
        <v>637</v>
      </c>
      <c r="B356" s="72" t="s">
        <v>55</v>
      </c>
      <c r="C356" s="72" t="s">
        <v>589</v>
      </c>
      <c r="D356" s="276"/>
      <c r="E356" s="276"/>
      <c r="F356" s="276"/>
      <c r="G356" s="276"/>
      <c r="H356" s="92"/>
      <c r="I356" s="276"/>
      <c r="J356" s="61"/>
      <c r="K356" s="253"/>
      <c r="L356" s="954"/>
      <c r="M356" s="276"/>
      <c r="N356" s="276"/>
      <c r="O356" s="131"/>
      <c r="P356" s="276"/>
      <c r="Q356" s="976"/>
      <c r="R356" s="976"/>
      <c r="S356" s="976">
        <v>1968.38</v>
      </c>
      <c r="T356" s="976">
        <v>2000</v>
      </c>
      <c r="U356" s="987">
        <v>2000</v>
      </c>
      <c r="V356" s="976">
        <v>2169.38</v>
      </c>
      <c r="W356" s="61"/>
    </row>
    <row r="357" spans="1:23" ht="12.75">
      <c r="A357" s="45">
        <v>642</v>
      </c>
      <c r="B357" s="46" t="s">
        <v>42</v>
      </c>
      <c r="C357" s="46" t="s">
        <v>590</v>
      </c>
      <c r="D357" s="276"/>
      <c r="E357" s="276"/>
      <c r="F357" s="276"/>
      <c r="G357" s="276"/>
      <c r="H357" s="92"/>
      <c r="I357" s="63">
        <v>1067</v>
      </c>
      <c r="J357" s="61"/>
      <c r="K357" s="62">
        <v>1067</v>
      </c>
      <c r="L357" s="131">
        <v>1067</v>
      </c>
      <c r="M357" s="62">
        <v>0</v>
      </c>
      <c r="N357" s="63">
        <v>0</v>
      </c>
      <c r="O357" s="131"/>
      <c r="P357" s="62">
        <v>0</v>
      </c>
      <c r="Q357" s="186">
        <v>0</v>
      </c>
      <c r="R357" s="186"/>
      <c r="S357" s="186">
        <v>0</v>
      </c>
      <c r="T357" s="976">
        <v>0</v>
      </c>
      <c r="U357" s="131"/>
      <c r="V357" s="186">
        <v>0</v>
      </c>
      <c r="W357" s="61"/>
    </row>
    <row r="358" spans="1:23" s="289" customFormat="1" ht="11.25">
      <c r="A358" s="834" t="s">
        <v>591</v>
      </c>
      <c r="B358" s="1087"/>
      <c r="C358" s="1087"/>
      <c r="D358" s="83">
        <v>0</v>
      </c>
      <c r="E358" s="83">
        <v>0</v>
      </c>
      <c r="F358" s="83"/>
      <c r="G358" s="83">
        <v>0</v>
      </c>
      <c r="H358" s="86"/>
      <c r="I358" s="837">
        <f>I359</f>
        <v>0</v>
      </c>
      <c r="J358" s="1089">
        <v>0</v>
      </c>
      <c r="K358" s="1090">
        <f>SUM(K359)</f>
        <v>0</v>
      </c>
      <c r="L358" s="1090">
        <f>SUM(L359)</f>
        <v>0</v>
      </c>
      <c r="M358" s="1090">
        <f>SUM(M359)</f>
        <v>0</v>
      </c>
      <c r="N358" s="837">
        <v>0</v>
      </c>
      <c r="O358" s="1090">
        <v>0</v>
      </c>
      <c r="P358" s="1090">
        <f>SUM(P359)</f>
        <v>0</v>
      </c>
      <c r="Q358" s="841">
        <v>0</v>
      </c>
      <c r="R358" s="841">
        <v>0</v>
      </c>
      <c r="S358" s="841">
        <v>0</v>
      </c>
      <c r="T358" s="841">
        <f>SUM(T359)</f>
        <v>0</v>
      </c>
      <c r="U358" s="1090">
        <v>0</v>
      </c>
      <c r="V358" s="841">
        <v>0</v>
      </c>
      <c r="W358" s="1188">
        <v>0</v>
      </c>
    </row>
    <row r="359" spans="1:23" ht="12.75">
      <c r="A359" s="1181">
        <v>637</v>
      </c>
      <c r="B359" s="1069"/>
      <c r="C359" s="1070" t="s">
        <v>180</v>
      </c>
      <c r="D359" s="1189">
        <v>0</v>
      </c>
      <c r="E359" s="1189">
        <v>0</v>
      </c>
      <c r="F359" s="1189"/>
      <c r="G359" s="1189">
        <v>0</v>
      </c>
      <c r="H359" s="1071"/>
      <c r="I359" s="1190">
        <f>I360</f>
        <v>0</v>
      </c>
      <c r="J359" s="299"/>
      <c r="K359" s="131">
        <f>SUM(K360)</f>
        <v>0</v>
      </c>
      <c r="L359" s="47">
        <v>0</v>
      </c>
      <c r="M359" s="47">
        <v>0</v>
      </c>
      <c r="N359" s="1190">
        <v>0</v>
      </c>
      <c r="O359" s="131"/>
      <c r="P359" s="47">
        <v>0</v>
      </c>
      <c r="Q359" s="1036">
        <v>0</v>
      </c>
      <c r="R359" s="1036">
        <v>0</v>
      </c>
      <c r="S359" s="1036"/>
      <c r="T359" s="278">
        <v>0</v>
      </c>
      <c r="U359" s="851"/>
      <c r="V359" s="1036"/>
      <c r="W359" s="61"/>
    </row>
    <row r="360" spans="1:23" ht="12.75">
      <c r="A360" s="45">
        <v>637</v>
      </c>
      <c r="B360" s="46" t="s">
        <v>68</v>
      </c>
      <c r="C360" s="35" t="s">
        <v>533</v>
      </c>
      <c r="D360" s="1094">
        <v>0</v>
      </c>
      <c r="E360" s="276">
        <v>0</v>
      </c>
      <c r="F360" s="1094"/>
      <c r="G360" s="276">
        <v>0</v>
      </c>
      <c r="H360" s="92"/>
      <c r="I360" s="1095">
        <v>0</v>
      </c>
      <c r="J360" s="1086"/>
      <c r="K360" s="239">
        <v>0</v>
      </c>
      <c r="L360" s="1097">
        <v>0</v>
      </c>
      <c r="M360" s="1097">
        <v>0</v>
      </c>
      <c r="N360" s="1095">
        <v>0</v>
      </c>
      <c r="O360" s="239"/>
      <c r="P360" s="1097">
        <v>0</v>
      </c>
      <c r="Q360" s="1042">
        <v>0</v>
      </c>
      <c r="R360" s="1042">
        <v>0</v>
      </c>
      <c r="S360" s="1042"/>
      <c r="T360" s="278">
        <v>0</v>
      </c>
      <c r="U360" s="851"/>
      <c r="V360" s="1042"/>
      <c r="W360" s="61"/>
    </row>
    <row r="361" spans="1:23" s="289" customFormat="1" ht="11.25">
      <c r="A361" s="834" t="s">
        <v>592</v>
      </c>
      <c r="B361" s="1087"/>
      <c r="C361" s="1088"/>
      <c r="D361" s="83">
        <f>SUM(D362)</f>
        <v>500</v>
      </c>
      <c r="E361" s="83">
        <v>235</v>
      </c>
      <c r="F361" s="84">
        <v>23.5</v>
      </c>
      <c r="G361" s="83">
        <v>312</v>
      </c>
      <c r="H361" s="86">
        <v>32.2</v>
      </c>
      <c r="I361" s="837" t="str">
        <f>"#REF!#REF!+#REF!#REF!+I362"</f>
        <v>#REF!#REF!+#REF!#REF!+I362</v>
      </c>
      <c r="J361" s="1089">
        <v>36.9</v>
      </c>
      <c r="K361" s="984">
        <v>500</v>
      </c>
      <c r="L361" s="984">
        <v>559</v>
      </c>
      <c r="M361" s="984">
        <f>SUM(M362)</f>
        <v>800</v>
      </c>
      <c r="N361" s="837">
        <f>N362</f>
        <v>257.58</v>
      </c>
      <c r="O361" s="984">
        <v>0</v>
      </c>
      <c r="P361" s="984">
        <f>SUM(P362)</f>
        <v>800</v>
      </c>
      <c r="Q361" s="983">
        <f>Q362</f>
        <v>374.90999999999997</v>
      </c>
      <c r="R361" s="983">
        <f>R362</f>
        <v>800</v>
      </c>
      <c r="S361" s="983">
        <f>S362+S363+S364+S365+S366+S367</f>
        <v>418.08</v>
      </c>
      <c r="T361" s="983">
        <f>T362</f>
        <v>800</v>
      </c>
      <c r="U361" s="992">
        <v>0</v>
      </c>
      <c r="V361" s="983">
        <f>V362+V363+V364+V365+V366+V367</f>
        <v>817.88</v>
      </c>
      <c r="W361" s="843">
        <f>V361/T361*100</f>
        <v>102.23500000000001</v>
      </c>
    </row>
    <row r="362" spans="1:23" ht="12.75">
      <c r="A362" s="1185">
        <v>630</v>
      </c>
      <c r="B362" s="1107"/>
      <c r="C362" s="1070" t="s">
        <v>337</v>
      </c>
      <c r="D362" s="173">
        <f>SUM(D363,D363,D364,D365,D366,D367)</f>
        <v>500</v>
      </c>
      <c r="E362" s="62">
        <v>235</v>
      </c>
      <c r="F362" s="173"/>
      <c r="G362" s="62">
        <v>312</v>
      </c>
      <c r="H362" s="92"/>
      <c r="I362" s="236">
        <f>I363+I364+I365+I366+I367</f>
        <v>369</v>
      </c>
      <c r="J362" s="1086"/>
      <c r="K362" s="239">
        <f>SUM(K363,K364,K365,K366,K367)</f>
        <v>500</v>
      </c>
      <c r="L362" s="239">
        <f>SUM(L363,L364,L365,L366,L367)</f>
        <v>559</v>
      </c>
      <c r="M362" s="239">
        <f>SUM(M363,M364,M365,M366,M367)</f>
        <v>800</v>
      </c>
      <c r="N362" s="294">
        <f>N363+N364+N365+N366+N367</f>
        <v>257.58</v>
      </c>
      <c r="O362" s="239"/>
      <c r="P362" s="239">
        <f>SUM(P363,P364,P365,P366,P367)</f>
        <v>800</v>
      </c>
      <c r="Q362" s="241">
        <f>SUM(Q363:Q367)</f>
        <v>374.90999999999997</v>
      </c>
      <c r="R362" s="241">
        <v>800</v>
      </c>
      <c r="S362" s="241">
        <v>0</v>
      </c>
      <c r="T362" s="241">
        <f>SUM(T363,T364,T365,T366,T367)</f>
        <v>800</v>
      </c>
      <c r="U362" s="239"/>
      <c r="V362" s="241">
        <v>0</v>
      </c>
      <c r="W362" s="61"/>
    </row>
    <row r="363" spans="1:23" ht="12.75">
      <c r="A363" s="34" t="s">
        <v>442</v>
      </c>
      <c r="B363" s="35"/>
      <c r="C363" s="36" t="s">
        <v>168</v>
      </c>
      <c r="D363" s="973">
        <v>0</v>
      </c>
      <c r="E363" s="276">
        <v>0</v>
      </c>
      <c r="F363" s="973"/>
      <c r="G363" s="276">
        <v>0</v>
      </c>
      <c r="H363" s="92"/>
      <c r="I363" s="1095">
        <v>0</v>
      </c>
      <c r="J363" s="1109"/>
      <c r="K363" s="1110">
        <v>0</v>
      </c>
      <c r="L363" s="1191">
        <v>0</v>
      </c>
      <c r="M363" s="1192">
        <v>0</v>
      </c>
      <c r="N363" s="69"/>
      <c r="O363" s="1111"/>
      <c r="P363" s="1192">
        <v>0</v>
      </c>
      <c r="Q363" s="1193">
        <v>0</v>
      </c>
      <c r="R363" s="1193"/>
      <c r="S363" s="1193">
        <v>0</v>
      </c>
      <c r="T363" s="186">
        <v>0</v>
      </c>
      <c r="U363" s="131"/>
      <c r="V363" s="1193">
        <v>0</v>
      </c>
      <c r="W363" s="61"/>
    </row>
    <row r="364" spans="1:23" ht="12.75">
      <c r="A364" s="34">
        <v>632</v>
      </c>
      <c r="B364" s="35"/>
      <c r="C364" s="36" t="s">
        <v>443</v>
      </c>
      <c r="D364" s="973">
        <v>300</v>
      </c>
      <c r="E364" s="276">
        <v>83</v>
      </c>
      <c r="F364" s="973"/>
      <c r="G364" s="276">
        <v>160</v>
      </c>
      <c r="H364" s="92"/>
      <c r="I364" s="1095">
        <v>217</v>
      </c>
      <c r="J364" s="1133"/>
      <c r="K364" s="259">
        <v>300</v>
      </c>
      <c r="L364" s="1194">
        <v>260</v>
      </c>
      <c r="M364" s="223">
        <v>300</v>
      </c>
      <c r="N364" s="69">
        <v>43.17</v>
      </c>
      <c r="O364" s="257"/>
      <c r="P364" s="223">
        <v>300</v>
      </c>
      <c r="Q364" s="1195">
        <v>86.34</v>
      </c>
      <c r="R364" s="1195"/>
      <c r="S364" s="1195">
        <v>129.51</v>
      </c>
      <c r="T364" s="976">
        <v>300</v>
      </c>
      <c r="U364" s="131"/>
      <c r="V364" s="1195">
        <v>172.92</v>
      </c>
      <c r="W364" s="61"/>
    </row>
    <row r="365" spans="1:23" ht="12.75">
      <c r="A365" s="45">
        <v>633</v>
      </c>
      <c r="B365" s="46"/>
      <c r="C365" s="47" t="s">
        <v>593</v>
      </c>
      <c r="D365" s="973">
        <v>200</v>
      </c>
      <c r="E365" s="276">
        <v>152</v>
      </c>
      <c r="F365" s="973"/>
      <c r="G365" s="276">
        <v>152</v>
      </c>
      <c r="H365" s="92"/>
      <c r="I365" s="1095">
        <v>152</v>
      </c>
      <c r="J365" s="299"/>
      <c r="K365" s="253">
        <v>200</v>
      </c>
      <c r="L365" s="1196">
        <v>299</v>
      </c>
      <c r="M365" s="219">
        <v>500</v>
      </c>
      <c r="N365" s="69">
        <v>214.41</v>
      </c>
      <c r="O365" s="47"/>
      <c r="P365" s="219">
        <v>500</v>
      </c>
      <c r="Q365" s="1197">
        <v>288.57</v>
      </c>
      <c r="R365" s="1197"/>
      <c r="S365" s="1197">
        <v>288.57</v>
      </c>
      <c r="T365" s="976">
        <v>500</v>
      </c>
      <c r="U365" s="131"/>
      <c r="V365" s="1197">
        <v>488.57</v>
      </c>
      <c r="W365" s="61"/>
    </row>
    <row r="366" spans="1:23" ht="12.75">
      <c r="A366" s="45">
        <v>635</v>
      </c>
      <c r="B366" s="46"/>
      <c r="C366" s="47" t="s">
        <v>272</v>
      </c>
      <c r="D366" s="973">
        <v>0</v>
      </c>
      <c r="E366" s="276">
        <v>0</v>
      </c>
      <c r="F366" s="973"/>
      <c r="G366" s="276">
        <v>0</v>
      </c>
      <c r="H366" s="92"/>
      <c r="I366" s="1095">
        <v>0</v>
      </c>
      <c r="J366" s="1086"/>
      <c r="K366" s="1096">
        <v>0</v>
      </c>
      <c r="L366" s="1198">
        <v>0</v>
      </c>
      <c r="M366" s="1199">
        <v>0</v>
      </c>
      <c r="N366" s="69"/>
      <c r="O366" s="1097"/>
      <c r="P366" s="1199">
        <v>0</v>
      </c>
      <c r="Q366" s="1200">
        <v>0</v>
      </c>
      <c r="R366" s="1200"/>
      <c r="S366" s="1200">
        <v>0</v>
      </c>
      <c r="T366" s="976">
        <v>0</v>
      </c>
      <c r="U366" s="131"/>
      <c r="V366" s="1200">
        <v>0</v>
      </c>
      <c r="W366" s="61"/>
    </row>
    <row r="367" spans="1:23" ht="12.75">
      <c r="A367" s="45">
        <v>637</v>
      </c>
      <c r="B367" s="46"/>
      <c r="C367" s="47" t="s">
        <v>180</v>
      </c>
      <c r="D367" s="973">
        <v>0</v>
      </c>
      <c r="E367" s="973">
        <v>0</v>
      </c>
      <c r="F367" s="973"/>
      <c r="G367" s="973">
        <v>0</v>
      </c>
      <c r="H367" s="53"/>
      <c r="I367" s="1201">
        <v>0</v>
      </c>
      <c r="J367" s="1086"/>
      <c r="K367" s="1096">
        <v>0</v>
      </c>
      <c r="L367" s="1198">
        <v>0</v>
      </c>
      <c r="M367" s="1199">
        <v>0</v>
      </c>
      <c r="N367" s="974"/>
      <c r="O367" s="1097"/>
      <c r="P367" s="1199">
        <v>0</v>
      </c>
      <c r="Q367" s="1200">
        <v>0</v>
      </c>
      <c r="R367" s="1200"/>
      <c r="S367" s="1200">
        <v>0</v>
      </c>
      <c r="T367" s="976">
        <v>0</v>
      </c>
      <c r="U367" s="131"/>
      <c r="V367" s="1200">
        <v>156.39</v>
      </c>
      <c r="W367" s="61"/>
    </row>
    <row r="368" spans="1:23" s="289" customFormat="1" ht="11.25">
      <c r="A368" s="834" t="s">
        <v>594</v>
      </c>
      <c r="B368" s="1087"/>
      <c r="C368" s="1087"/>
      <c r="D368" s="83">
        <v>500</v>
      </c>
      <c r="E368" s="83">
        <v>585</v>
      </c>
      <c r="F368" s="84">
        <v>117</v>
      </c>
      <c r="G368" s="83">
        <v>585</v>
      </c>
      <c r="H368" s="86">
        <v>117</v>
      </c>
      <c r="I368" s="837">
        <f>I369</f>
        <v>586</v>
      </c>
      <c r="J368" s="838">
        <v>117.2</v>
      </c>
      <c r="K368" s="1090">
        <f>SUM(K369)</f>
        <v>600</v>
      </c>
      <c r="L368" s="1090">
        <f>SUM(L369)</f>
        <v>589</v>
      </c>
      <c r="M368" s="1090">
        <f>SUM(M369)</f>
        <v>600</v>
      </c>
      <c r="N368" s="133">
        <f>N369</f>
        <v>573.72</v>
      </c>
      <c r="O368" s="1090">
        <v>0</v>
      </c>
      <c r="P368" s="1090">
        <f>SUM(P369)</f>
        <v>600</v>
      </c>
      <c r="Q368" s="1090">
        <f>Q370</f>
        <v>574.92</v>
      </c>
      <c r="R368" s="1091">
        <f>R369</f>
        <v>600</v>
      </c>
      <c r="S368" s="1090">
        <f>S369+S370</f>
        <v>580.57</v>
      </c>
      <c r="T368" s="841">
        <f>SUM(T369)</f>
        <v>600</v>
      </c>
      <c r="U368" s="1091">
        <v>0</v>
      </c>
      <c r="V368" s="1090">
        <f>V369+V370</f>
        <v>591.89</v>
      </c>
      <c r="W368" s="843">
        <f>V368/T368*100</f>
        <v>98.64833333333333</v>
      </c>
    </row>
    <row r="369" spans="1:23" ht="12.75">
      <c r="A369" s="1181">
        <v>637</v>
      </c>
      <c r="B369" s="1069"/>
      <c r="C369" s="1070" t="s">
        <v>180</v>
      </c>
      <c r="D369" s="261">
        <v>500</v>
      </c>
      <c r="E369" s="255">
        <v>585</v>
      </c>
      <c r="F369" s="255"/>
      <c r="G369" s="255">
        <v>585</v>
      </c>
      <c r="H369" s="1084"/>
      <c r="I369" s="1108">
        <v>586</v>
      </c>
      <c r="J369" s="299"/>
      <c r="K369" s="131">
        <f>SUM(K370)</f>
        <v>600</v>
      </c>
      <c r="L369" s="47">
        <f>L370</f>
        <v>589</v>
      </c>
      <c r="M369" s="47">
        <v>600</v>
      </c>
      <c r="N369" s="62">
        <f>N370</f>
        <v>573.72</v>
      </c>
      <c r="O369" s="47"/>
      <c r="P369" s="47">
        <v>600</v>
      </c>
      <c r="Q369" s="47">
        <v>0</v>
      </c>
      <c r="R369" s="1093">
        <v>600</v>
      </c>
      <c r="S369" s="47"/>
      <c r="T369" s="186">
        <v>600</v>
      </c>
      <c r="U369" s="131"/>
      <c r="V369" s="47"/>
      <c r="W369" s="61"/>
    </row>
    <row r="370" spans="1:23" ht="12.75">
      <c r="A370" s="45">
        <v>637</v>
      </c>
      <c r="B370" s="46" t="s">
        <v>68</v>
      </c>
      <c r="C370" s="35" t="s">
        <v>595</v>
      </c>
      <c r="D370" s="276">
        <v>500</v>
      </c>
      <c r="E370" s="1094">
        <v>585</v>
      </c>
      <c r="F370" s="1094"/>
      <c r="G370" s="276">
        <v>585</v>
      </c>
      <c r="H370" s="92"/>
      <c r="I370" s="1095">
        <v>586</v>
      </c>
      <c r="J370" s="1086"/>
      <c r="K370" s="1096">
        <v>600</v>
      </c>
      <c r="L370" s="1198">
        <v>589</v>
      </c>
      <c r="M370" s="1199">
        <v>600</v>
      </c>
      <c r="N370" s="69">
        <v>573.72</v>
      </c>
      <c r="O370" s="1097"/>
      <c r="P370" s="1199">
        <v>600</v>
      </c>
      <c r="Q370" s="1199">
        <v>574.92</v>
      </c>
      <c r="R370" s="1202">
        <v>600</v>
      </c>
      <c r="S370" s="1199">
        <v>580.57</v>
      </c>
      <c r="T370" s="976">
        <v>600</v>
      </c>
      <c r="U370" s="131"/>
      <c r="V370" s="1199">
        <v>591.89</v>
      </c>
      <c r="W370" s="61"/>
    </row>
    <row r="371" spans="1:23" s="289" customFormat="1" ht="11.25">
      <c r="A371" s="834" t="s">
        <v>596</v>
      </c>
      <c r="B371" s="1087"/>
      <c r="C371" s="1087"/>
      <c r="D371" s="83">
        <v>0</v>
      </c>
      <c r="E371" s="83">
        <v>0</v>
      </c>
      <c r="F371" s="83"/>
      <c r="G371" s="83">
        <v>0</v>
      </c>
      <c r="H371" s="86"/>
      <c r="I371" s="837">
        <v>0</v>
      </c>
      <c r="J371" s="1089">
        <v>0</v>
      </c>
      <c r="K371" s="1090">
        <f>SUM(K372)</f>
        <v>0</v>
      </c>
      <c r="L371" s="1090">
        <f>SUM(L372)</f>
        <v>0</v>
      </c>
      <c r="M371" s="1090">
        <f>SUM(M372)</f>
        <v>0</v>
      </c>
      <c r="N371" s="83">
        <f>N372</f>
        <v>0</v>
      </c>
      <c r="O371" s="1203">
        <v>0</v>
      </c>
      <c r="P371" s="1090">
        <f>SUM(P372)</f>
        <v>0</v>
      </c>
      <c r="Q371" s="1091">
        <v>0</v>
      </c>
      <c r="R371" s="1091">
        <v>0</v>
      </c>
      <c r="S371" s="1091">
        <v>0</v>
      </c>
      <c r="T371" s="841">
        <f>SUM(T372)</f>
        <v>0</v>
      </c>
      <c r="U371" s="1090">
        <v>0</v>
      </c>
      <c r="V371" s="1091">
        <v>0</v>
      </c>
      <c r="W371" s="1092">
        <v>0</v>
      </c>
    </row>
    <row r="372" spans="1:23" ht="12.75">
      <c r="A372" s="1181">
        <v>637</v>
      </c>
      <c r="B372" s="1069"/>
      <c r="C372" s="1070" t="s">
        <v>180</v>
      </c>
      <c r="D372" s="261">
        <v>0</v>
      </c>
      <c r="E372" s="255">
        <v>0</v>
      </c>
      <c r="F372" s="255"/>
      <c r="G372" s="255">
        <v>0</v>
      </c>
      <c r="H372" s="1084"/>
      <c r="I372" s="1108">
        <v>0</v>
      </c>
      <c r="J372" s="299"/>
      <c r="K372" s="131">
        <f>SUM(K373)</f>
        <v>0</v>
      </c>
      <c r="L372" s="47">
        <v>0</v>
      </c>
      <c r="M372" s="47">
        <v>0</v>
      </c>
      <c r="N372" s="255"/>
      <c r="O372" s="47"/>
      <c r="P372" s="47">
        <v>0</v>
      </c>
      <c r="Q372" s="1093">
        <v>0</v>
      </c>
      <c r="R372" s="1093">
        <v>0</v>
      </c>
      <c r="S372" s="1093">
        <v>0</v>
      </c>
      <c r="T372" s="186">
        <v>0</v>
      </c>
      <c r="U372" s="131"/>
      <c r="V372" s="1093">
        <v>0</v>
      </c>
      <c r="W372" s="61"/>
    </row>
    <row r="373" spans="1:23" ht="12.75">
      <c r="A373" s="45">
        <v>637</v>
      </c>
      <c r="B373" s="46" t="s">
        <v>68</v>
      </c>
      <c r="C373" s="35" t="s">
        <v>533</v>
      </c>
      <c r="D373" s="276">
        <v>0</v>
      </c>
      <c r="E373" s="1094">
        <v>0</v>
      </c>
      <c r="F373" s="1094"/>
      <c r="G373" s="276">
        <v>0</v>
      </c>
      <c r="H373" s="92"/>
      <c r="I373" s="1095">
        <v>0</v>
      </c>
      <c r="J373" s="1086"/>
      <c r="K373" s="1096">
        <v>0</v>
      </c>
      <c r="L373" s="1097">
        <v>0</v>
      </c>
      <c r="M373" s="1097">
        <v>0</v>
      </c>
      <c r="N373" s="276"/>
      <c r="O373" s="1097"/>
      <c r="P373" s="1097">
        <v>0</v>
      </c>
      <c r="Q373" s="1202">
        <v>0</v>
      </c>
      <c r="R373" s="1098">
        <v>0</v>
      </c>
      <c r="S373" s="1098">
        <v>0</v>
      </c>
      <c r="T373" s="186">
        <v>0</v>
      </c>
      <c r="U373" s="131"/>
      <c r="V373" s="1098">
        <v>0</v>
      </c>
      <c r="W373" s="61"/>
    </row>
    <row r="374" spans="1:23" s="289" customFormat="1" ht="11.25">
      <c r="A374" s="834" t="s">
        <v>597</v>
      </c>
      <c r="B374" s="1087"/>
      <c r="C374" s="1087"/>
      <c r="D374" s="83">
        <f>D375+D376</f>
        <v>2500</v>
      </c>
      <c r="E374" s="83">
        <v>628</v>
      </c>
      <c r="F374" s="84">
        <v>25.12</v>
      </c>
      <c r="G374" s="83">
        <v>992</v>
      </c>
      <c r="H374" s="86">
        <v>39.68</v>
      </c>
      <c r="I374" s="83">
        <f>I375+I376</f>
        <v>1317</v>
      </c>
      <c r="J374" s="984">
        <v>52.68</v>
      </c>
      <c r="K374" s="982">
        <f>SUM(K375,K376)</f>
        <v>2000</v>
      </c>
      <c r="L374" s="982">
        <f>SUM(L375,L376)</f>
        <v>2451</v>
      </c>
      <c r="M374" s="982">
        <f>SUM(M375,M376)</f>
        <v>2500</v>
      </c>
      <c r="N374" s="83">
        <f>N375+N376</f>
        <v>639.25</v>
      </c>
      <c r="O374" s="982">
        <v>0</v>
      </c>
      <c r="P374" s="982">
        <v>2500</v>
      </c>
      <c r="Q374" s="983">
        <v>1260.01</v>
      </c>
      <c r="R374" s="983">
        <f>R375</f>
        <v>2500</v>
      </c>
      <c r="S374" s="983">
        <f>S375+S377+S376</f>
        <v>1959.54</v>
      </c>
      <c r="T374" s="983">
        <f>SUM(T375,T376)</f>
        <v>2500</v>
      </c>
      <c r="U374" s="983">
        <v>0</v>
      </c>
      <c r="V374" s="983">
        <f>V375+V377+V376</f>
        <v>2573.66</v>
      </c>
      <c r="W374" s="843">
        <f>V374/T374*100</f>
        <v>102.9464</v>
      </c>
    </row>
    <row r="375" spans="1:23" s="5" customFormat="1" ht="12.75">
      <c r="A375" s="1185">
        <v>630</v>
      </c>
      <c r="B375" s="1107"/>
      <c r="C375" s="1107" t="s">
        <v>598</v>
      </c>
      <c r="D375" s="38">
        <v>2500</v>
      </c>
      <c r="E375" s="38">
        <v>628</v>
      </c>
      <c r="F375" s="38"/>
      <c r="G375" s="38">
        <v>992</v>
      </c>
      <c r="H375" s="53"/>
      <c r="I375" s="38">
        <v>1317</v>
      </c>
      <c r="J375" s="169"/>
      <c r="K375" s="62">
        <v>2000</v>
      </c>
      <c r="L375" s="131">
        <v>2451</v>
      </c>
      <c r="M375" s="131">
        <v>2500</v>
      </c>
      <c r="N375" s="38">
        <v>639.25</v>
      </c>
      <c r="O375" s="131"/>
      <c r="P375" s="62">
        <v>2500</v>
      </c>
      <c r="Q375" s="186">
        <v>1260.01</v>
      </c>
      <c r="R375" s="186">
        <v>2500</v>
      </c>
      <c r="S375" s="186">
        <v>727.34</v>
      </c>
      <c r="T375" s="186">
        <v>2500</v>
      </c>
      <c r="U375" s="131"/>
      <c r="V375" s="186">
        <v>761.39</v>
      </c>
      <c r="W375" s="44"/>
    </row>
    <row r="376" spans="1:23" s="33" customFormat="1" ht="12.75">
      <c r="A376" s="1181">
        <v>642</v>
      </c>
      <c r="B376" s="1069"/>
      <c r="C376" s="1107" t="s">
        <v>353</v>
      </c>
      <c r="D376" s="62">
        <v>0</v>
      </c>
      <c r="E376" s="62">
        <v>0</v>
      </c>
      <c r="F376" s="62"/>
      <c r="G376" s="62">
        <v>0</v>
      </c>
      <c r="H376" s="92"/>
      <c r="I376" s="62">
        <v>0</v>
      </c>
      <c r="J376" s="61"/>
      <c r="K376" s="131">
        <f>SUM(K377)</f>
        <v>0</v>
      </c>
      <c r="L376" s="131">
        <v>0</v>
      </c>
      <c r="M376" s="131">
        <v>0</v>
      </c>
      <c r="N376" s="62">
        <f>N377</f>
        <v>0</v>
      </c>
      <c r="O376" s="131"/>
      <c r="P376" s="131">
        <v>0</v>
      </c>
      <c r="Q376" s="186">
        <v>0</v>
      </c>
      <c r="R376" s="186">
        <v>0</v>
      </c>
      <c r="S376" s="186">
        <v>1232.2</v>
      </c>
      <c r="T376" s="131">
        <v>0</v>
      </c>
      <c r="U376" s="131"/>
      <c r="V376" s="186">
        <v>1812.27</v>
      </c>
      <c r="W376" s="169"/>
    </row>
    <row r="377" spans="1:23" s="33" customFormat="1" ht="12.75">
      <c r="A377" s="45">
        <v>642</v>
      </c>
      <c r="B377" s="46" t="s">
        <v>34</v>
      </c>
      <c r="C377" s="35" t="s">
        <v>599</v>
      </c>
      <c r="D377" s="276">
        <v>0</v>
      </c>
      <c r="E377" s="276">
        <v>0</v>
      </c>
      <c r="F377" s="276"/>
      <c r="G377" s="276">
        <v>0</v>
      </c>
      <c r="H377" s="92"/>
      <c r="I377" s="276">
        <v>0</v>
      </c>
      <c r="J377" s="61"/>
      <c r="K377" s="253">
        <v>0</v>
      </c>
      <c r="L377" s="131">
        <v>0</v>
      </c>
      <c r="M377" s="131">
        <v>0</v>
      </c>
      <c r="N377" s="276"/>
      <c r="O377" s="131"/>
      <c r="P377" s="131">
        <v>0</v>
      </c>
      <c r="Q377" s="186">
        <v>0</v>
      </c>
      <c r="R377" s="186">
        <v>0</v>
      </c>
      <c r="S377" s="186">
        <v>0</v>
      </c>
      <c r="T377" s="131">
        <v>0</v>
      </c>
      <c r="U377" s="131"/>
      <c r="V377" s="186">
        <v>0</v>
      </c>
      <c r="W377" s="169"/>
    </row>
    <row r="378" spans="1:23" ht="12.75">
      <c r="A378" s="997" t="s">
        <v>600</v>
      </c>
      <c r="B378" s="998"/>
      <c r="C378" s="1143" t="s">
        <v>601</v>
      </c>
      <c r="D378" s="266">
        <f>D331+D338+D358+D361+D368+D371+D374</f>
        <v>58100</v>
      </c>
      <c r="E378" s="266">
        <v>15972</v>
      </c>
      <c r="F378" s="1113">
        <v>27.26</v>
      </c>
      <c r="G378" s="266">
        <v>30791</v>
      </c>
      <c r="H378" s="1114">
        <v>52.54</v>
      </c>
      <c r="I378" s="266" t="e">
        <f>I331+I338+I358+I361+I368+I371+I374</f>
        <v>#VALUE!</v>
      </c>
      <c r="J378" s="227">
        <v>76.62</v>
      </c>
      <c r="K378" s="225">
        <f>SUM(K331,K338,K358,K361,K368,K371,K374)</f>
        <v>57057</v>
      </c>
      <c r="L378" s="225">
        <f>SUM(L331,L338,L358,L361,L368,L371,L374)</f>
        <v>67748</v>
      </c>
      <c r="M378" s="225">
        <f>SUM(M331,M338,M358,M361,M368,M371,M374)</f>
        <v>58850</v>
      </c>
      <c r="N378" s="266">
        <f>SUM(N331,N338,N358,N361,N368,N371,N374)</f>
        <v>8698</v>
      </c>
      <c r="O378" s="1173">
        <f>O331+O338</f>
        <v>6850</v>
      </c>
      <c r="P378" s="225">
        <f>SUM(P331,P338,P358,P361,P368,P371,P374)</f>
        <v>52000</v>
      </c>
      <c r="Q378" s="226">
        <f>Q374+Q371+Q368+Q361+Q358+Q338+Q331</f>
        <v>24539.25</v>
      </c>
      <c r="R378" s="226">
        <f>R374+R371+R368+R361+R358+R338+R331</f>
        <v>52000</v>
      </c>
      <c r="S378" s="226">
        <f>S331+S338+S358+S361+S368+S371+S374</f>
        <v>43372.69</v>
      </c>
      <c r="T378" s="226">
        <f>SUM(T331,T338,T358,T361,T368,T371,T374)</f>
        <v>58600</v>
      </c>
      <c r="U378" s="1053">
        <f>U331+U338+U358+U361+U368+U369+U371+U374</f>
        <v>6600</v>
      </c>
      <c r="V378" s="226">
        <f>V331+V338+V358+V361+V368+V371+V374</f>
        <v>60818.08</v>
      </c>
      <c r="W378" s="1006">
        <f>V378/T378*100</f>
        <v>103.78511945392492</v>
      </c>
    </row>
    <row r="379" spans="1:8" ht="12.75">
      <c r="A379" s="1021"/>
      <c r="B379" s="110"/>
      <c r="C379" s="286"/>
      <c r="D379" s="287"/>
      <c r="E379" s="287"/>
      <c r="F379" s="287"/>
      <c r="G379" s="287"/>
      <c r="H379" s="1022"/>
    </row>
    <row r="380" spans="1:8" ht="12.75" hidden="1">
      <c r="A380" s="1021"/>
      <c r="B380" s="110"/>
      <c r="C380" s="286"/>
      <c r="D380" s="287"/>
      <c r="E380" s="287"/>
      <c r="F380" s="287"/>
      <c r="G380" s="287"/>
      <c r="H380" s="1022"/>
    </row>
    <row r="381" spans="1:20" ht="12.75">
      <c r="A381" s="1021"/>
      <c r="B381" s="110"/>
      <c r="C381" s="286"/>
      <c r="D381" s="287"/>
      <c r="E381" s="287"/>
      <c r="F381" s="287"/>
      <c r="G381" s="287"/>
      <c r="H381" s="1022"/>
      <c r="J381" s="1596" t="s">
        <v>602</v>
      </c>
      <c r="K381" s="1596"/>
      <c r="L381" s="1596"/>
      <c r="M381" s="1596"/>
      <c r="N381" s="1596"/>
      <c r="O381" s="1596"/>
      <c r="P381" s="1596"/>
      <c r="Q381" s="1596"/>
      <c r="R381" s="1596"/>
      <c r="S381" s="1596"/>
      <c r="T381" s="1596"/>
    </row>
    <row r="382" spans="1:8" ht="12.75">
      <c r="A382" s="1021"/>
      <c r="B382" s="110"/>
      <c r="C382" s="286"/>
      <c r="D382" s="287"/>
      <c r="E382" s="287"/>
      <c r="F382" s="287"/>
      <c r="G382" s="287"/>
      <c r="H382" s="1022"/>
    </row>
    <row r="383" spans="1:23" s="1024" customFormat="1" ht="39.75" customHeight="1">
      <c r="A383" s="822" t="s">
        <v>414</v>
      </c>
      <c r="B383" s="823"/>
      <c r="C383" s="824"/>
      <c r="D383" s="1010" t="s">
        <v>13</v>
      </c>
      <c r="E383" s="1010" t="s">
        <v>14</v>
      </c>
      <c r="F383" s="827" t="s">
        <v>15</v>
      </c>
      <c r="G383" s="1010" t="s">
        <v>16</v>
      </c>
      <c r="H383" s="827" t="s">
        <v>15</v>
      </c>
      <c r="I383" s="1010" t="s">
        <v>17</v>
      </c>
      <c r="J383" s="827" t="s">
        <v>15</v>
      </c>
      <c r="K383" s="828" t="s">
        <v>20</v>
      </c>
      <c r="L383" s="829" t="s">
        <v>18</v>
      </c>
      <c r="M383" s="830">
        <v>2012</v>
      </c>
      <c r="N383" s="1062" t="s">
        <v>537</v>
      </c>
      <c r="O383" s="828" t="s">
        <v>20</v>
      </c>
      <c r="P383" s="828" t="s">
        <v>21</v>
      </c>
      <c r="Q383" s="21" t="s">
        <v>22</v>
      </c>
      <c r="R383" s="21" t="s">
        <v>436</v>
      </c>
      <c r="S383" s="21" t="s">
        <v>23</v>
      </c>
      <c r="T383" s="20" t="s">
        <v>24</v>
      </c>
      <c r="U383" s="19" t="s">
        <v>437</v>
      </c>
      <c r="V383" s="22" t="s">
        <v>26</v>
      </c>
      <c r="W383" s="827" t="s">
        <v>15</v>
      </c>
    </row>
    <row r="384" spans="1:23" s="289" customFormat="1" ht="11.25">
      <c r="A384" s="834" t="s">
        <v>603</v>
      </c>
      <c r="B384" s="1087"/>
      <c r="C384" s="1087"/>
      <c r="D384" s="83">
        <v>94000</v>
      </c>
      <c r="E384" s="83">
        <v>18804</v>
      </c>
      <c r="F384" s="84">
        <v>20</v>
      </c>
      <c r="G384" s="83">
        <v>42578</v>
      </c>
      <c r="H384" s="86">
        <v>45.3</v>
      </c>
      <c r="I384" s="83">
        <v>73320.18</v>
      </c>
      <c r="J384" s="984">
        <v>77.87</v>
      </c>
      <c r="K384" s="982">
        <f>SUM(K385,K386,K390,K391)</f>
        <v>104000</v>
      </c>
      <c r="L384" s="982">
        <f>SUM(L385,L386,L390,L391)</f>
        <v>105661</v>
      </c>
      <c r="M384" s="982">
        <f>SUM(M385,M386,M390,M391+M389+M388)</f>
        <v>106700</v>
      </c>
      <c r="N384" s="83">
        <f>N385+N386+N388+N389+N390+N391</f>
        <v>22635.559999999998</v>
      </c>
      <c r="O384" s="982">
        <v>0</v>
      </c>
      <c r="P384" s="982">
        <f>SUM(P385,P386,P390,P391+P389+P388)</f>
        <v>106700</v>
      </c>
      <c r="Q384" s="983">
        <f>Q385+Q386+Q387+Q390+Q391</f>
        <v>51273.74</v>
      </c>
      <c r="R384" s="983">
        <f>R385+R386+R390+R391+R388+R389</f>
        <v>106700</v>
      </c>
      <c r="S384" s="983">
        <f>S385+S386+S387</f>
        <v>78369.25</v>
      </c>
      <c r="T384" s="983">
        <f>SUM(T385,T386,T390,T391)+T387+T388+T389</f>
        <v>109217</v>
      </c>
      <c r="U384" s="1026">
        <f>U387+U389</f>
        <v>2517</v>
      </c>
      <c r="V384" s="983">
        <f>V385+V386+V387</f>
        <v>115129.29000000001</v>
      </c>
      <c r="W384" s="843">
        <f>V384/T384*100</f>
        <v>105.41334224525487</v>
      </c>
    </row>
    <row r="385" spans="1:23" ht="12.75">
      <c r="A385" s="1204" t="s">
        <v>604</v>
      </c>
      <c r="B385" s="1205" t="s">
        <v>605</v>
      </c>
      <c r="C385" s="1183" t="s">
        <v>439</v>
      </c>
      <c r="D385" s="38">
        <v>60000</v>
      </c>
      <c r="E385" s="38">
        <v>17289</v>
      </c>
      <c r="F385" s="38"/>
      <c r="G385" s="38">
        <v>28218</v>
      </c>
      <c r="H385" s="962"/>
      <c r="I385" s="38"/>
      <c r="J385" s="169"/>
      <c r="K385" s="62">
        <v>60000</v>
      </c>
      <c r="L385" s="131">
        <v>64944</v>
      </c>
      <c r="M385" s="62">
        <v>60000</v>
      </c>
      <c r="N385" s="38">
        <v>11315.96</v>
      </c>
      <c r="O385" s="131"/>
      <c r="P385" s="62">
        <v>60000</v>
      </c>
      <c r="Q385" s="186">
        <v>32495.64</v>
      </c>
      <c r="R385" s="186">
        <v>60000</v>
      </c>
      <c r="S385" s="186">
        <v>51653.44</v>
      </c>
      <c r="T385" s="186">
        <v>60000</v>
      </c>
      <c r="U385" s="131"/>
      <c r="V385" s="186">
        <v>73154.69</v>
      </c>
      <c r="W385" s="61"/>
    </row>
    <row r="386" spans="1:23" s="33" customFormat="1" ht="12.75">
      <c r="A386" s="1206"/>
      <c r="B386" s="1205" t="s">
        <v>606</v>
      </c>
      <c r="C386" s="1107" t="s">
        <v>337</v>
      </c>
      <c r="D386" s="38">
        <v>22000</v>
      </c>
      <c r="E386" s="38">
        <v>244</v>
      </c>
      <c r="F386" s="38"/>
      <c r="G386" s="38">
        <v>8780</v>
      </c>
      <c r="H386" s="1207"/>
      <c r="I386" s="38"/>
      <c r="J386" s="169"/>
      <c r="K386" s="62">
        <v>32000</v>
      </c>
      <c r="L386" s="131">
        <v>40717</v>
      </c>
      <c r="M386" s="62">
        <v>32000</v>
      </c>
      <c r="N386" s="38">
        <v>11236.6</v>
      </c>
      <c r="O386" s="131"/>
      <c r="P386" s="62">
        <v>32000</v>
      </c>
      <c r="Q386" s="186">
        <v>18581</v>
      </c>
      <c r="R386" s="186">
        <v>32000</v>
      </c>
      <c r="S386" s="186">
        <v>26441.71</v>
      </c>
      <c r="T386" s="186">
        <v>32000</v>
      </c>
      <c r="U386" s="131"/>
      <c r="V386" s="186">
        <v>41580.5</v>
      </c>
      <c r="W386" s="169"/>
    </row>
    <row r="387" spans="1:23" s="33" customFormat="1" ht="12.75">
      <c r="A387" s="1206"/>
      <c r="B387" s="1205"/>
      <c r="C387" s="1107" t="s">
        <v>607</v>
      </c>
      <c r="D387" s="38"/>
      <c r="E387" s="38"/>
      <c r="F387" s="38"/>
      <c r="G387" s="38"/>
      <c r="H387" s="1207"/>
      <c r="I387" s="38"/>
      <c r="J387" s="169"/>
      <c r="K387" s="62"/>
      <c r="L387" s="131"/>
      <c r="M387" s="62"/>
      <c r="N387" s="38"/>
      <c r="O387" s="131"/>
      <c r="P387" s="62"/>
      <c r="Q387" s="1208">
        <v>197.1</v>
      </c>
      <c r="R387" s="1208"/>
      <c r="S387" s="1208">
        <v>274.1</v>
      </c>
      <c r="T387" s="1208">
        <v>400</v>
      </c>
      <c r="U387" s="987">
        <v>400</v>
      </c>
      <c r="V387" s="1208">
        <v>394.1</v>
      </c>
      <c r="W387" s="169"/>
    </row>
    <row r="388" spans="1:23" s="33" customFormat="1" ht="12.75">
      <c r="A388" s="1206"/>
      <c r="B388" s="1205"/>
      <c r="C388" s="1209" t="s">
        <v>608</v>
      </c>
      <c r="D388" s="1210"/>
      <c r="E388" s="1210"/>
      <c r="F388" s="1210"/>
      <c r="G388" s="1210"/>
      <c r="H388" s="1211"/>
      <c r="I388" s="1210"/>
      <c r="J388" s="1139"/>
      <c r="K388" s="958"/>
      <c r="L388" s="924">
        <v>166</v>
      </c>
      <c r="M388" s="958">
        <v>200</v>
      </c>
      <c r="N388" s="1210">
        <v>83</v>
      </c>
      <c r="O388" s="1212"/>
      <c r="P388" s="958">
        <v>200</v>
      </c>
      <c r="Q388" s="1138">
        <v>99.6</v>
      </c>
      <c r="R388" s="1138">
        <v>200</v>
      </c>
      <c r="S388" s="1138">
        <v>99.6</v>
      </c>
      <c r="T388" s="1138">
        <v>200</v>
      </c>
      <c r="U388" s="851"/>
      <c r="V388" s="1138">
        <v>166</v>
      </c>
      <c r="W388" s="169"/>
    </row>
    <row r="389" spans="1:23" s="33" customFormat="1" ht="12.75">
      <c r="A389" s="1206"/>
      <c r="B389" s="1205"/>
      <c r="C389" s="1209" t="s">
        <v>609</v>
      </c>
      <c r="D389" s="1210"/>
      <c r="E389" s="1210"/>
      <c r="F389" s="1210"/>
      <c r="G389" s="1210"/>
      <c r="H389" s="1211"/>
      <c r="I389" s="1210"/>
      <c r="J389" s="1139"/>
      <c r="K389" s="958"/>
      <c r="L389" s="924">
        <v>3080</v>
      </c>
      <c r="M389" s="958">
        <v>2500</v>
      </c>
      <c r="N389" s="1210">
        <v>0</v>
      </c>
      <c r="O389" s="1212"/>
      <c r="P389" s="958">
        <v>2500</v>
      </c>
      <c r="Q389" s="1138">
        <v>2184</v>
      </c>
      <c r="R389" s="1138">
        <v>2500</v>
      </c>
      <c r="S389" s="1138">
        <v>2912</v>
      </c>
      <c r="T389" s="1138">
        <v>4617</v>
      </c>
      <c r="U389" s="1213">
        <v>2117</v>
      </c>
      <c r="V389" s="1138">
        <v>4617</v>
      </c>
      <c r="W389" s="169"/>
    </row>
    <row r="390" spans="1:23" s="33" customFormat="1" ht="12.75">
      <c r="A390" s="1206" t="s">
        <v>610</v>
      </c>
      <c r="B390" s="1214">
        <v>610.62</v>
      </c>
      <c r="C390" s="1107" t="s">
        <v>439</v>
      </c>
      <c r="D390" s="38">
        <v>11000</v>
      </c>
      <c r="E390" s="38">
        <v>0</v>
      </c>
      <c r="F390" s="38"/>
      <c r="G390" s="38">
        <v>0</v>
      </c>
      <c r="H390" s="1207"/>
      <c r="I390" s="38">
        <v>0</v>
      </c>
      <c r="J390" s="169"/>
      <c r="K390" s="62">
        <v>11000</v>
      </c>
      <c r="L390" s="131">
        <v>0</v>
      </c>
      <c r="M390" s="62">
        <v>11000</v>
      </c>
      <c r="N390" s="38"/>
      <c r="O390" s="131"/>
      <c r="P390" s="62">
        <v>11000</v>
      </c>
      <c r="Q390" s="186"/>
      <c r="R390" s="186">
        <v>11000</v>
      </c>
      <c r="S390" s="186"/>
      <c r="T390" s="186">
        <v>11000</v>
      </c>
      <c r="U390" s="131"/>
      <c r="V390" s="186"/>
      <c r="W390" s="169"/>
    </row>
    <row r="391" spans="1:23" s="33" customFormat="1" ht="12.75">
      <c r="A391" s="1204"/>
      <c r="B391" s="1214">
        <v>630.64</v>
      </c>
      <c r="C391" s="1183" t="s">
        <v>337</v>
      </c>
      <c r="D391" s="38">
        <v>1000</v>
      </c>
      <c r="E391" s="38">
        <v>1271</v>
      </c>
      <c r="F391" s="38"/>
      <c r="G391" s="38">
        <v>5580</v>
      </c>
      <c r="H391" s="962"/>
      <c r="I391" s="38"/>
      <c r="J391" s="61"/>
      <c r="K391" s="62">
        <v>1000</v>
      </c>
      <c r="L391" s="131">
        <v>0</v>
      </c>
      <c r="M391" s="62">
        <v>1000</v>
      </c>
      <c r="N391" s="38"/>
      <c r="O391" s="131"/>
      <c r="P391" s="62">
        <v>1000</v>
      </c>
      <c r="Q391" s="186"/>
      <c r="R391" s="186">
        <v>1000</v>
      </c>
      <c r="S391" s="186"/>
      <c r="T391" s="186">
        <v>1000</v>
      </c>
      <c r="U391" s="131"/>
      <c r="V391" s="186"/>
      <c r="W391" s="169"/>
    </row>
    <row r="392" spans="1:23" s="33" customFormat="1" ht="25.5">
      <c r="A392" s="822" t="s">
        <v>414</v>
      </c>
      <c r="B392" s="823"/>
      <c r="C392" s="824"/>
      <c r="D392" s="1010" t="s">
        <v>13</v>
      </c>
      <c r="E392" s="1010" t="s">
        <v>14</v>
      </c>
      <c r="F392" s="827" t="s">
        <v>15</v>
      </c>
      <c r="G392" s="1010" t="s">
        <v>16</v>
      </c>
      <c r="H392" s="827" t="s">
        <v>15</v>
      </c>
      <c r="I392" s="1010" t="s">
        <v>17</v>
      </c>
      <c r="J392" s="827" t="s">
        <v>15</v>
      </c>
      <c r="K392" s="828" t="s">
        <v>20</v>
      </c>
      <c r="L392" s="829" t="s">
        <v>18</v>
      </c>
      <c r="M392" s="830">
        <v>2012</v>
      </c>
      <c r="N392" s="1062" t="s">
        <v>537</v>
      </c>
      <c r="O392" s="828" t="s">
        <v>20</v>
      </c>
      <c r="P392" s="828" t="s">
        <v>21</v>
      </c>
      <c r="Q392" s="21" t="s">
        <v>22</v>
      </c>
      <c r="R392" s="21" t="s">
        <v>436</v>
      </c>
      <c r="S392" s="21" t="s">
        <v>23</v>
      </c>
      <c r="T392" s="20" t="s">
        <v>24</v>
      </c>
      <c r="U392" s="19" t="s">
        <v>437</v>
      </c>
      <c r="V392" s="22" t="s">
        <v>26</v>
      </c>
      <c r="W392" s="827" t="s">
        <v>15</v>
      </c>
    </row>
    <row r="393" spans="1:23" s="289" customFormat="1" ht="11.25">
      <c r="A393" s="834" t="s">
        <v>611</v>
      </c>
      <c r="B393" s="1087"/>
      <c r="C393" s="1088"/>
      <c r="D393" s="1215">
        <v>430000</v>
      </c>
      <c r="E393" s="1079">
        <v>64653</v>
      </c>
      <c r="F393" s="1175">
        <v>15.04</v>
      </c>
      <c r="G393" s="1079">
        <v>172334</v>
      </c>
      <c r="H393" s="1175">
        <v>40.08</v>
      </c>
      <c r="I393" s="133">
        <v>317099</v>
      </c>
      <c r="J393" s="1216">
        <v>73.74</v>
      </c>
      <c r="K393" s="839">
        <f>SUM(K394,K395,K397,K403)</f>
        <v>430000</v>
      </c>
      <c r="L393" s="839">
        <f>L394+L395</f>
        <v>436717</v>
      </c>
      <c r="M393" s="839">
        <f>SUM(M394,M395,M397,M400,M401,M402,M403)</f>
        <v>402300</v>
      </c>
      <c r="N393" s="133">
        <f>N394+N395</f>
        <v>88174.05</v>
      </c>
      <c r="O393" s="840">
        <f>SUM(O394,O395,O397,O398)</f>
        <v>64000</v>
      </c>
      <c r="P393" s="839">
        <f>SUM(P394,P395,P397,P398,P400,P401,P402,P403)</f>
        <v>466300</v>
      </c>
      <c r="Q393" s="841">
        <f>Q394+Q395+Q396</f>
        <v>201135.06</v>
      </c>
      <c r="R393" s="841">
        <f>R394+R395+R397+R398+R400+R401+R402+R403</f>
        <v>466300</v>
      </c>
      <c r="S393" s="841">
        <f>S394+S395+S396+S397</f>
        <v>305596.91</v>
      </c>
      <c r="T393" s="841">
        <f>SUM(T394,T395,T397,T398,T427,T396,T399)</f>
        <v>498119.15</v>
      </c>
      <c r="U393" s="1031">
        <f>U396+U401+U404+U398+U394-U400-U403+U405+U408</f>
        <v>31819.15</v>
      </c>
      <c r="V393" s="841">
        <f>V394+V395+V396+V406+V407</f>
        <v>501290.58999999997</v>
      </c>
      <c r="W393" s="843">
        <f>V393/T393*100</f>
        <v>100.63668301048052</v>
      </c>
    </row>
    <row r="394" spans="1:23" ht="12.75">
      <c r="A394" s="34" t="s">
        <v>605</v>
      </c>
      <c r="B394" s="1205"/>
      <c r="C394" s="1183" t="s">
        <v>439</v>
      </c>
      <c r="D394" s="38">
        <v>355000</v>
      </c>
      <c r="E394" s="38">
        <v>61789</v>
      </c>
      <c r="F394" s="38"/>
      <c r="G394" s="38">
        <v>146404</v>
      </c>
      <c r="H394" s="962"/>
      <c r="I394" s="38"/>
      <c r="J394" s="169"/>
      <c r="K394" s="62">
        <v>355000</v>
      </c>
      <c r="L394" s="131">
        <v>372462</v>
      </c>
      <c r="M394" s="131">
        <v>322000</v>
      </c>
      <c r="N394" s="38">
        <v>66868.24</v>
      </c>
      <c r="O394" s="305">
        <v>31000</v>
      </c>
      <c r="P394" s="62">
        <v>353000</v>
      </c>
      <c r="Q394" s="186">
        <v>160837.49</v>
      </c>
      <c r="R394" s="186">
        <v>353000</v>
      </c>
      <c r="S394" s="186">
        <v>255300.34</v>
      </c>
      <c r="T394" s="186">
        <f>R394+U394</f>
        <v>355559</v>
      </c>
      <c r="U394" s="1217">
        <v>2559</v>
      </c>
      <c r="V394" s="186">
        <v>419245.79</v>
      </c>
      <c r="W394" s="61"/>
    </row>
    <row r="395" spans="1:23" ht="12.75">
      <c r="A395" s="34" t="s">
        <v>606</v>
      </c>
      <c r="B395" s="1205"/>
      <c r="C395" s="1107" t="s">
        <v>337</v>
      </c>
      <c r="D395" s="38">
        <v>49000</v>
      </c>
      <c r="E395" s="38">
        <v>504</v>
      </c>
      <c r="F395" s="38"/>
      <c r="G395" s="38">
        <v>25930</v>
      </c>
      <c r="H395" s="1207"/>
      <c r="I395" s="38"/>
      <c r="J395" s="38"/>
      <c r="K395" s="62">
        <v>49000</v>
      </c>
      <c r="L395" s="131">
        <v>64255</v>
      </c>
      <c r="M395" s="131">
        <v>42000</v>
      </c>
      <c r="N395" s="38">
        <v>21305.81</v>
      </c>
      <c r="O395" s="305">
        <v>6000</v>
      </c>
      <c r="P395" s="62">
        <v>48000</v>
      </c>
      <c r="Q395" s="186">
        <v>33434.23</v>
      </c>
      <c r="R395" s="186">
        <v>48000</v>
      </c>
      <c r="S395" s="186">
        <v>43251</v>
      </c>
      <c r="T395" s="186">
        <v>48000</v>
      </c>
      <c r="U395" s="222"/>
      <c r="V395" s="186">
        <v>62745.13</v>
      </c>
      <c r="W395" s="61"/>
    </row>
    <row r="396" spans="1:23" ht="12.75">
      <c r="A396" s="34"/>
      <c r="B396" s="1205"/>
      <c r="C396" s="1107" t="s">
        <v>612</v>
      </c>
      <c r="D396" s="38"/>
      <c r="E396" s="38"/>
      <c r="F396" s="38"/>
      <c r="G396" s="38"/>
      <c r="H396" s="1207"/>
      <c r="I396" s="38"/>
      <c r="J396" s="38"/>
      <c r="K396" s="62"/>
      <c r="L396" s="131"/>
      <c r="M396" s="131"/>
      <c r="N396" s="38"/>
      <c r="O396" s="305"/>
      <c r="P396" s="62"/>
      <c r="Q396" s="1208">
        <v>6863.34</v>
      </c>
      <c r="R396" s="1208"/>
      <c r="S396" s="70">
        <v>7045.57</v>
      </c>
      <c r="T396" s="70">
        <v>17200</v>
      </c>
      <c r="U396" s="862">
        <v>17200</v>
      </c>
      <c r="V396" s="1218">
        <v>18818.87</v>
      </c>
      <c r="W396" s="61"/>
    </row>
    <row r="397" spans="1:23" s="33" customFormat="1" ht="12.75">
      <c r="A397" s="34" t="s">
        <v>613</v>
      </c>
      <c r="B397" s="35"/>
      <c r="C397" s="35" t="s">
        <v>368</v>
      </c>
      <c r="D397" s="38">
        <v>18000</v>
      </c>
      <c r="E397" s="38">
        <v>0</v>
      </c>
      <c r="F397" s="38"/>
      <c r="G397" s="38">
        <v>0</v>
      </c>
      <c r="H397" s="1207"/>
      <c r="I397" s="38">
        <v>0</v>
      </c>
      <c r="J397" s="61"/>
      <c r="K397" s="62">
        <v>18000</v>
      </c>
      <c r="L397" s="954">
        <v>17980</v>
      </c>
      <c r="M397" s="131">
        <v>18000</v>
      </c>
      <c r="N397" s="974"/>
      <c r="O397" s="305">
        <v>6000</v>
      </c>
      <c r="P397" s="62">
        <v>24000</v>
      </c>
      <c r="Q397" s="186"/>
      <c r="R397" s="186">
        <v>24000</v>
      </c>
      <c r="S397" s="186">
        <v>0</v>
      </c>
      <c r="T397" s="186">
        <v>24000</v>
      </c>
      <c r="U397" s="1219"/>
      <c r="V397" s="976">
        <v>25275.5</v>
      </c>
      <c r="W397" s="169"/>
    </row>
    <row r="398" spans="1:23" s="1223" customFormat="1" ht="12.75">
      <c r="A398" s="896"/>
      <c r="B398" s="897"/>
      <c r="C398" s="897" t="s">
        <v>614</v>
      </c>
      <c r="D398" s="866"/>
      <c r="E398" s="866"/>
      <c r="F398" s="866"/>
      <c r="G398" s="866"/>
      <c r="H398" s="1220"/>
      <c r="I398" s="866"/>
      <c r="J398" s="932"/>
      <c r="K398" s="933"/>
      <c r="L398" s="924"/>
      <c r="M398" s="934"/>
      <c r="N398" s="1210"/>
      <c r="O398" s="305">
        <v>21000</v>
      </c>
      <c r="P398" s="933">
        <v>21000</v>
      </c>
      <c r="Q398" s="959"/>
      <c r="R398" s="959">
        <v>21000</v>
      </c>
      <c r="S398" s="959"/>
      <c r="T398" s="926">
        <v>21573.52</v>
      </c>
      <c r="U398" s="1221">
        <v>573.52</v>
      </c>
      <c r="V398" s="959">
        <v>21573.52</v>
      </c>
      <c r="W398" s="1222"/>
    </row>
    <row r="399" spans="1:23" s="1223" customFormat="1" ht="12.75">
      <c r="A399" s="896"/>
      <c r="B399" s="897"/>
      <c r="C399" s="897" t="s">
        <v>615</v>
      </c>
      <c r="D399" s="866"/>
      <c r="E399" s="866"/>
      <c r="F399" s="866"/>
      <c r="G399" s="866"/>
      <c r="H399" s="1220"/>
      <c r="I399" s="866"/>
      <c r="J399" s="932"/>
      <c r="K399" s="933"/>
      <c r="L399" s="924"/>
      <c r="M399" s="934"/>
      <c r="N399" s="1210"/>
      <c r="O399" s="305"/>
      <c r="P399" s="933"/>
      <c r="Q399" s="959"/>
      <c r="R399" s="959"/>
      <c r="S399" s="959"/>
      <c r="T399" s="926">
        <f>T400+T401+T402+T403+T404+T408+T405</f>
        <v>31786.63</v>
      </c>
      <c r="U399" s="1224"/>
      <c r="V399" s="959"/>
      <c r="W399" s="1222"/>
    </row>
    <row r="400" spans="1:23" s="33" customFormat="1" ht="12.75">
      <c r="A400" s="1225"/>
      <c r="B400" s="1226"/>
      <c r="C400" s="1209" t="s">
        <v>616</v>
      </c>
      <c r="D400" s="1210"/>
      <c r="E400" s="1210"/>
      <c r="F400" s="1210"/>
      <c r="G400" s="1210"/>
      <c r="H400" s="1211"/>
      <c r="I400" s="1210"/>
      <c r="J400" s="1139"/>
      <c r="K400" s="958"/>
      <c r="L400" s="924">
        <v>3740</v>
      </c>
      <c r="M400" s="1227">
        <v>3500</v>
      </c>
      <c r="N400" s="1210">
        <v>1164</v>
      </c>
      <c r="O400" s="922"/>
      <c r="P400" s="922">
        <v>3500</v>
      </c>
      <c r="Q400" s="959">
        <v>1059</v>
      </c>
      <c r="R400" s="959">
        <v>3500</v>
      </c>
      <c r="S400" s="959">
        <v>1059</v>
      </c>
      <c r="T400" s="1138">
        <f>R400-U400</f>
        <v>3394</v>
      </c>
      <c r="U400" s="1228">
        <v>106</v>
      </c>
      <c r="V400" s="959">
        <v>3394</v>
      </c>
      <c r="W400" s="169"/>
    </row>
    <row r="401" spans="1:23" s="33" customFormat="1" ht="12.75">
      <c r="A401" s="1225"/>
      <c r="B401" s="1226"/>
      <c r="C401" s="1209" t="s">
        <v>617</v>
      </c>
      <c r="D401" s="1210"/>
      <c r="E401" s="1210"/>
      <c r="F401" s="1210"/>
      <c r="G401" s="1210"/>
      <c r="H401" s="1211"/>
      <c r="I401" s="1210"/>
      <c r="J401" s="1139"/>
      <c r="K401" s="958"/>
      <c r="L401" s="924">
        <v>6120</v>
      </c>
      <c r="M401" s="1227">
        <v>6000</v>
      </c>
      <c r="N401" s="1210">
        <v>0</v>
      </c>
      <c r="O401" s="922"/>
      <c r="P401" s="922">
        <v>6000</v>
      </c>
      <c r="Q401" s="959">
        <v>3500</v>
      </c>
      <c r="R401" s="959">
        <v>6000</v>
      </c>
      <c r="S401" s="959">
        <v>3500</v>
      </c>
      <c r="T401" s="1138">
        <v>8033</v>
      </c>
      <c r="U401" s="1217">
        <v>2033</v>
      </c>
      <c r="V401" s="959">
        <v>8033</v>
      </c>
      <c r="W401" s="169"/>
    </row>
    <row r="402" spans="1:23" s="33" customFormat="1" ht="12.75">
      <c r="A402" s="1225"/>
      <c r="B402" s="1226"/>
      <c r="C402" s="1209" t="s">
        <v>362</v>
      </c>
      <c r="D402" s="1210"/>
      <c r="E402" s="1210"/>
      <c r="F402" s="1210"/>
      <c r="G402" s="1210"/>
      <c r="H402" s="1211"/>
      <c r="I402" s="1210"/>
      <c r="J402" s="1139"/>
      <c r="K402" s="958"/>
      <c r="L402" s="924">
        <v>2822</v>
      </c>
      <c r="M402" s="1227">
        <v>2800</v>
      </c>
      <c r="N402" s="1210">
        <v>1394.4</v>
      </c>
      <c r="O402" s="922"/>
      <c r="P402" s="922">
        <v>2800</v>
      </c>
      <c r="Q402" s="959">
        <v>1543.8</v>
      </c>
      <c r="R402" s="959">
        <v>2800</v>
      </c>
      <c r="S402" s="959">
        <v>1543.8</v>
      </c>
      <c r="T402" s="1138">
        <v>2800</v>
      </c>
      <c r="U402" s="1219"/>
      <c r="V402" s="959">
        <v>2788.8</v>
      </c>
      <c r="W402" s="169"/>
    </row>
    <row r="403" spans="1:23" ht="12.75">
      <c r="A403" s="896"/>
      <c r="B403" s="897"/>
      <c r="C403" s="897" t="s">
        <v>618</v>
      </c>
      <c r="D403" s="866">
        <v>8000</v>
      </c>
      <c r="E403" s="866">
        <v>2360</v>
      </c>
      <c r="F403" s="866"/>
      <c r="G403" s="866">
        <v>4720</v>
      </c>
      <c r="H403" s="1207"/>
      <c r="I403" s="866">
        <v>4720</v>
      </c>
      <c r="J403" s="61"/>
      <c r="K403" s="1034">
        <v>8000</v>
      </c>
      <c r="L403" s="924">
        <v>7693</v>
      </c>
      <c r="M403" s="934">
        <v>8000</v>
      </c>
      <c r="N403" s="1210">
        <v>2360</v>
      </c>
      <c r="O403" s="933"/>
      <c r="P403" s="933">
        <v>8000</v>
      </c>
      <c r="Q403" s="959">
        <v>4646</v>
      </c>
      <c r="R403" s="959">
        <v>8000</v>
      </c>
      <c r="S403" s="959">
        <v>4646</v>
      </c>
      <c r="T403" s="1138">
        <f>R403-U403</f>
        <v>7813</v>
      </c>
      <c r="U403" s="1228">
        <v>187</v>
      </c>
      <c r="V403" s="959">
        <v>7813</v>
      </c>
      <c r="W403" s="94"/>
    </row>
    <row r="404" spans="1:23" ht="12.75">
      <c r="A404" s="896"/>
      <c r="B404" s="897"/>
      <c r="C404" s="1229" t="s">
        <v>619</v>
      </c>
      <c r="D404" s="866"/>
      <c r="E404" s="866"/>
      <c r="F404" s="866"/>
      <c r="G404" s="866"/>
      <c r="H404" s="1207"/>
      <c r="I404" s="866"/>
      <c r="J404" s="61"/>
      <c r="K404" s="1034"/>
      <c r="L404" s="924"/>
      <c r="M404" s="934"/>
      <c r="N404" s="1210"/>
      <c r="O404" s="933"/>
      <c r="P404" s="933"/>
      <c r="Q404" s="959"/>
      <c r="R404" s="959"/>
      <c r="S404" s="959"/>
      <c r="T404" s="1138">
        <v>5468.45</v>
      </c>
      <c r="U404" s="1217">
        <v>5468.45</v>
      </c>
      <c r="V404" s="959">
        <v>5011.69</v>
      </c>
      <c r="W404" s="61"/>
    </row>
    <row r="405" spans="1:23" ht="12.75">
      <c r="A405" s="896"/>
      <c r="B405" s="897"/>
      <c r="C405" s="1126" t="s">
        <v>620</v>
      </c>
      <c r="D405" s="866"/>
      <c r="E405" s="866"/>
      <c r="F405" s="866"/>
      <c r="G405" s="866"/>
      <c r="H405" s="1207"/>
      <c r="I405" s="866"/>
      <c r="J405" s="61"/>
      <c r="K405" s="1034"/>
      <c r="L405" s="924"/>
      <c r="M405" s="934"/>
      <c r="N405" s="1210"/>
      <c r="O405" s="933"/>
      <c r="P405" s="933"/>
      <c r="Q405" s="959"/>
      <c r="R405" s="959"/>
      <c r="S405" s="959"/>
      <c r="T405" s="976">
        <v>287.81</v>
      </c>
      <c r="U405" s="1217">
        <v>287.81</v>
      </c>
      <c r="V405" s="976">
        <v>263.77</v>
      </c>
      <c r="W405" s="61"/>
    </row>
    <row r="406" spans="1:23" ht="12.75">
      <c r="A406" s="896"/>
      <c r="B406" s="897"/>
      <c r="C406" s="1229" t="s">
        <v>621</v>
      </c>
      <c r="D406" s="866"/>
      <c r="E406" s="866"/>
      <c r="F406" s="866"/>
      <c r="G406" s="866"/>
      <c r="H406" s="1207"/>
      <c r="I406" s="866"/>
      <c r="J406" s="61"/>
      <c r="K406" s="1034"/>
      <c r="L406" s="924"/>
      <c r="M406" s="934"/>
      <c r="N406" s="1210"/>
      <c r="O406" s="933"/>
      <c r="P406" s="933"/>
      <c r="Q406" s="959"/>
      <c r="R406" s="959"/>
      <c r="S406" s="959"/>
      <c r="T406" s="976"/>
      <c r="U406" s="1217"/>
      <c r="V406" s="1081">
        <v>456.76</v>
      </c>
      <c r="W406" s="61"/>
    </row>
    <row r="407" spans="1:23" ht="12.75">
      <c r="A407" s="896"/>
      <c r="B407" s="897"/>
      <c r="C407" s="1126" t="s">
        <v>622</v>
      </c>
      <c r="D407" s="866"/>
      <c r="E407" s="866"/>
      <c r="F407" s="866"/>
      <c r="G407" s="866"/>
      <c r="H407" s="1207"/>
      <c r="I407" s="866"/>
      <c r="J407" s="61"/>
      <c r="K407" s="1034"/>
      <c r="L407" s="924"/>
      <c r="M407" s="934"/>
      <c r="N407" s="1210"/>
      <c r="O407" s="933"/>
      <c r="P407" s="933"/>
      <c r="Q407" s="959"/>
      <c r="R407" s="959"/>
      <c r="S407" s="959"/>
      <c r="T407" s="976"/>
      <c r="U407" s="1217"/>
      <c r="V407" s="66">
        <v>24.04</v>
      </c>
      <c r="W407" s="61"/>
    </row>
    <row r="408" spans="1:23" ht="12.75">
      <c r="A408" s="896"/>
      <c r="B408" s="897"/>
      <c r="C408" s="1229" t="s">
        <v>623</v>
      </c>
      <c r="D408" s="866"/>
      <c r="E408" s="866"/>
      <c r="F408" s="866"/>
      <c r="G408" s="866"/>
      <c r="H408" s="1207"/>
      <c r="I408" s="866"/>
      <c r="J408" s="61"/>
      <c r="K408" s="1034"/>
      <c r="L408" s="924"/>
      <c r="M408" s="934"/>
      <c r="N408" s="1210"/>
      <c r="O408" s="933"/>
      <c r="P408" s="933"/>
      <c r="Q408" s="959"/>
      <c r="R408" s="959"/>
      <c r="S408" s="959"/>
      <c r="T408" s="1138">
        <v>3990.37</v>
      </c>
      <c r="U408" s="1217">
        <v>3990.37</v>
      </c>
      <c r="V408" s="959">
        <v>3990.37</v>
      </c>
      <c r="W408" s="61"/>
    </row>
    <row r="409" spans="1:23" s="1231" customFormat="1" ht="12.75">
      <c r="A409" s="834" t="s">
        <v>624</v>
      </c>
      <c r="B409" s="1087"/>
      <c r="C409" s="1087" t="s">
        <v>377</v>
      </c>
      <c r="D409" s="83">
        <f>D410+D411+D412</f>
        <v>51000</v>
      </c>
      <c r="E409" s="83">
        <v>15399</v>
      </c>
      <c r="F409" s="84">
        <v>30.19</v>
      </c>
      <c r="G409" s="83">
        <v>30760</v>
      </c>
      <c r="H409" s="86">
        <v>60.31</v>
      </c>
      <c r="I409" s="83">
        <f>I410+I411+I412</f>
        <v>42470</v>
      </c>
      <c r="J409" s="984">
        <v>83.27</v>
      </c>
      <c r="K409" s="982">
        <f>SUM(K410,K411,K412)</f>
        <v>51000</v>
      </c>
      <c r="L409" s="982">
        <f>SUM(L410,L411,L412)</f>
        <v>60013</v>
      </c>
      <c r="M409" s="982">
        <f>SUM(M410,M411,M412)</f>
        <v>56800</v>
      </c>
      <c r="N409" s="83">
        <f>N410+N411+N412</f>
        <v>16120.56</v>
      </c>
      <c r="O409" s="982">
        <v>0</v>
      </c>
      <c r="P409" s="982">
        <f>SUM(P410,P411,P412)</f>
        <v>56800</v>
      </c>
      <c r="Q409" s="983">
        <f>Q410+Q411+Q412</f>
        <v>34090.22</v>
      </c>
      <c r="R409" s="983">
        <f>R410+R411+R412</f>
        <v>56800</v>
      </c>
      <c r="S409" s="983">
        <f>S410+S411+S412</f>
        <v>47291.99</v>
      </c>
      <c r="T409" s="983">
        <f>SUM(T410,T411,T412)</f>
        <v>62000</v>
      </c>
      <c r="U409" s="1031">
        <f>U410+U411+U414+U416+U418-U413</f>
        <v>5200</v>
      </c>
      <c r="V409" s="983">
        <f>V410+V411+V412</f>
        <v>63075.54000000001</v>
      </c>
      <c r="W409" s="1230">
        <f>V409/T409*100</f>
        <v>101.73474193548388</v>
      </c>
    </row>
    <row r="410" spans="1:23" ht="12.75">
      <c r="A410" s="1181">
        <v>610</v>
      </c>
      <c r="B410" s="1182"/>
      <c r="C410" s="1183" t="s">
        <v>439</v>
      </c>
      <c r="D410" s="173">
        <v>17000</v>
      </c>
      <c r="E410" s="62">
        <v>5045</v>
      </c>
      <c r="F410" s="173"/>
      <c r="G410" s="62">
        <v>9870</v>
      </c>
      <c r="H410" s="92"/>
      <c r="I410" s="62">
        <v>15052</v>
      </c>
      <c r="J410" s="61"/>
      <c r="K410" s="62">
        <v>17000</v>
      </c>
      <c r="L410" s="131">
        <v>20265</v>
      </c>
      <c r="M410" s="62">
        <v>18000</v>
      </c>
      <c r="N410" s="62">
        <v>5042.25</v>
      </c>
      <c r="O410" s="62"/>
      <c r="P410" s="62">
        <v>18000</v>
      </c>
      <c r="Q410" s="186">
        <v>10072.38</v>
      </c>
      <c r="R410" s="186">
        <v>18000</v>
      </c>
      <c r="S410" s="186">
        <v>15342.11</v>
      </c>
      <c r="T410" s="186">
        <v>21400</v>
      </c>
      <c r="U410" s="987">
        <v>3400</v>
      </c>
      <c r="V410" s="186">
        <v>20430.87</v>
      </c>
      <c r="W410" s="61"/>
    </row>
    <row r="411" spans="1:23" ht="12.75">
      <c r="A411" s="1181">
        <v>620</v>
      </c>
      <c r="B411" s="1069"/>
      <c r="C411" s="1069" t="s">
        <v>166</v>
      </c>
      <c r="D411" s="173">
        <v>6000</v>
      </c>
      <c r="E411" s="62">
        <v>1767</v>
      </c>
      <c r="F411" s="173"/>
      <c r="G411" s="62">
        <v>2975</v>
      </c>
      <c r="H411" s="92"/>
      <c r="I411" s="62">
        <v>4788</v>
      </c>
      <c r="J411" s="61"/>
      <c r="K411" s="62">
        <v>6000</v>
      </c>
      <c r="L411" s="131">
        <v>7181</v>
      </c>
      <c r="M411" s="62">
        <v>6000</v>
      </c>
      <c r="N411" s="62">
        <v>1907.74</v>
      </c>
      <c r="O411" s="62"/>
      <c r="P411" s="62">
        <v>6000</v>
      </c>
      <c r="Q411" s="186">
        <v>3721.04</v>
      </c>
      <c r="R411" s="186">
        <v>6000</v>
      </c>
      <c r="S411" s="186">
        <v>5534.39</v>
      </c>
      <c r="T411" s="186">
        <v>7850</v>
      </c>
      <c r="U411" s="987">
        <v>1850</v>
      </c>
      <c r="V411" s="186">
        <v>7549.23</v>
      </c>
      <c r="W411" s="61"/>
    </row>
    <row r="412" spans="1:23" ht="12.75">
      <c r="A412" s="1185">
        <v>630</v>
      </c>
      <c r="B412" s="1107"/>
      <c r="C412" s="1107" t="s">
        <v>337</v>
      </c>
      <c r="D412" s="173">
        <v>28000</v>
      </c>
      <c r="E412" s="62">
        <v>8587</v>
      </c>
      <c r="F412" s="173"/>
      <c r="G412" s="62">
        <v>17915</v>
      </c>
      <c r="H412" s="92"/>
      <c r="I412" s="62">
        <f>I413+I414+I416+I419</f>
        <v>22630</v>
      </c>
      <c r="J412" s="61"/>
      <c r="K412" s="131">
        <f>SUM(K413,K414,K416,K419)</f>
        <v>28000</v>
      </c>
      <c r="L412" s="131">
        <f>L413+L414+L416+L417+L419</f>
        <v>32567</v>
      </c>
      <c r="M412" s="62">
        <f>SUM(M413,M414,M416,M419,M417)</f>
        <v>32800</v>
      </c>
      <c r="N412" s="62">
        <f>N413+N414+N416+N417+N419</f>
        <v>9170.57</v>
      </c>
      <c r="O412" s="62"/>
      <c r="P412" s="62">
        <f>SUM(P413,P414,P416,P419,P417)</f>
        <v>32800</v>
      </c>
      <c r="Q412" s="186">
        <f>Q413+Q414+Q416+Q417+Q418+Q419</f>
        <v>20296.8</v>
      </c>
      <c r="R412" s="186">
        <f>R413+R414+R416+R417+R419+R418</f>
        <v>32800</v>
      </c>
      <c r="S412" s="186">
        <f>S413+S414+S416+S417+S418+S419</f>
        <v>26415.489999999998</v>
      </c>
      <c r="T412" s="186">
        <f>SUM(T413,T414,T416,T419,T417,T418)</f>
        <v>32750</v>
      </c>
      <c r="U412" s="1232"/>
      <c r="V412" s="186">
        <f>V413+V414+V416+V417+V418+V419+V415</f>
        <v>35095.44000000001</v>
      </c>
      <c r="W412" s="61"/>
    </row>
    <row r="413" spans="1:23" ht="12.75">
      <c r="A413" s="96">
        <v>632</v>
      </c>
      <c r="B413" s="145"/>
      <c r="C413" s="145" t="s">
        <v>625</v>
      </c>
      <c r="D413" s="173"/>
      <c r="E413" s="276">
        <v>2461</v>
      </c>
      <c r="F413" s="173"/>
      <c r="G413" s="276">
        <v>4678</v>
      </c>
      <c r="H413" s="92"/>
      <c r="I413" s="276">
        <v>6007</v>
      </c>
      <c r="J413" s="61"/>
      <c r="K413" s="276">
        <v>8000</v>
      </c>
      <c r="L413" s="954">
        <v>8702</v>
      </c>
      <c r="M413" s="276">
        <v>10000</v>
      </c>
      <c r="N413" s="69">
        <v>1328.46</v>
      </c>
      <c r="O413" s="276"/>
      <c r="P413" s="276">
        <v>10000</v>
      </c>
      <c r="Q413" s="976">
        <v>3085.33</v>
      </c>
      <c r="R413" s="976">
        <v>10000</v>
      </c>
      <c r="S413" s="976">
        <v>4805.5</v>
      </c>
      <c r="T413" s="976">
        <f>R413-U413</f>
        <v>7500</v>
      </c>
      <c r="U413" s="850">
        <v>2500</v>
      </c>
      <c r="V413" s="976">
        <v>6369.17</v>
      </c>
      <c r="W413" s="61"/>
    </row>
    <row r="414" spans="1:23" ht="12.75">
      <c r="A414" s="96">
        <v>633</v>
      </c>
      <c r="B414" s="145"/>
      <c r="C414" s="145" t="s">
        <v>330</v>
      </c>
      <c r="D414" s="173"/>
      <c r="E414" s="276">
        <v>6</v>
      </c>
      <c r="F414" s="173"/>
      <c r="G414" s="276">
        <v>6</v>
      </c>
      <c r="H414" s="92"/>
      <c r="I414" s="276">
        <v>116</v>
      </c>
      <c r="J414" s="61"/>
      <c r="K414" s="253">
        <v>0</v>
      </c>
      <c r="L414" s="954">
        <v>257</v>
      </c>
      <c r="M414" s="276">
        <v>150</v>
      </c>
      <c r="N414" s="69">
        <v>33.38</v>
      </c>
      <c r="O414" s="276"/>
      <c r="P414" s="276">
        <v>150</v>
      </c>
      <c r="Q414" s="976">
        <v>117.28</v>
      </c>
      <c r="R414" s="976">
        <v>150</v>
      </c>
      <c r="S414" s="976">
        <v>171.8</v>
      </c>
      <c r="T414" s="976">
        <v>400</v>
      </c>
      <c r="U414" s="987">
        <v>250</v>
      </c>
      <c r="V414" s="976">
        <v>346.31</v>
      </c>
      <c r="W414" s="61"/>
    </row>
    <row r="415" spans="1:23" ht="12.75">
      <c r="A415" s="1554">
        <v>633</v>
      </c>
      <c r="B415" s="1555" t="s">
        <v>454</v>
      </c>
      <c r="C415" s="1556" t="s">
        <v>626</v>
      </c>
      <c r="D415" s="1553"/>
      <c r="E415" s="276"/>
      <c r="F415" s="173"/>
      <c r="G415" s="276"/>
      <c r="H415" s="92"/>
      <c r="I415" s="276"/>
      <c r="J415" s="61"/>
      <c r="K415" s="253"/>
      <c r="L415" s="954"/>
      <c r="M415" s="276"/>
      <c r="N415" s="69"/>
      <c r="O415" s="276"/>
      <c r="P415" s="276"/>
      <c r="Q415" s="976"/>
      <c r="R415" s="976"/>
      <c r="S415" s="976"/>
      <c r="T415" s="976"/>
      <c r="U415" s="1233"/>
      <c r="V415" s="976">
        <v>246.5</v>
      </c>
      <c r="W415" s="61"/>
    </row>
    <row r="416" spans="1:23" ht="12.75">
      <c r="A416" s="256">
        <v>633</v>
      </c>
      <c r="B416" s="939" t="s">
        <v>456</v>
      </c>
      <c r="C416" s="939" t="s">
        <v>361</v>
      </c>
      <c r="D416" s="173"/>
      <c r="E416" s="276">
        <v>6100</v>
      </c>
      <c r="F416" s="173"/>
      <c r="G416" s="276">
        <v>13211</v>
      </c>
      <c r="H416" s="92"/>
      <c r="I416" s="276">
        <v>16487</v>
      </c>
      <c r="J416" s="61"/>
      <c r="K416" s="276">
        <v>20000</v>
      </c>
      <c r="L416" s="954">
        <v>23451</v>
      </c>
      <c r="M416" s="62">
        <v>21000</v>
      </c>
      <c r="N416" s="69">
        <v>7758.73</v>
      </c>
      <c r="O416" s="62"/>
      <c r="P416" s="62">
        <v>21000</v>
      </c>
      <c r="Q416" s="976">
        <v>16401.85</v>
      </c>
      <c r="R416" s="976">
        <v>21000</v>
      </c>
      <c r="S416" s="976">
        <v>19753.34</v>
      </c>
      <c r="T416" s="976">
        <v>23000</v>
      </c>
      <c r="U416" s="1233">
        <v>2000</v>
      </c>
      <c r="V416" s="976">
        <v>26217.36</v>
      </c>
      <c r="W416" s="61"/>
    </row>
    <row r="417" spans="1:23" ht="12.75">
      <c r="A417" s="45">
        <v>633</v>
      </c>
      <c r="B417" s="46" t="s">
        <v>55</v>
      </c>
      <c r="C417" s="1234" t="s">
        <v>627</v>
      </c>
      <c r="D417" s="173"/>
      <c r="E417" s="276"/>
      <c r="F417" s="173"/>
      <c r="G417" s="276"/>
      <c r="H417" s="92"/>
      <c r="I417" s="276"/>
      <c r="J417" s="61"/>
      <c r="K417" s="276"/>
      <c r="L417" s="954">
        <v>8</v>
      </c>
      <c r="M417" s="62">
        <v>1500</v>
      </c>
      <c r="N417" s="69">
        <v>50</v>
      </c>
      <c r="O417" s="62"/>
      <c r="P417" s="62">
        <v>1500</v>
      </c>
      <c r="Q417" s="976">
        <v>500</v>
      </c>
      <c r="R417" s="976">
        <v>1500</v>
      </c>
      <c r="S417" s="976">
        <v>1492.51</v>
      </c>
      <c r="T417" s="976">
        <v>1500</v>
      </c>
      <c r="U417" s="851"/>
      <c r="V417" s="976">
        <v>1492.51</v>
      </c>
      <c r="W417" s="61"/>
    </row>
    <row r="418" spans="1:23" ht="12.75">
      <c r="A418" s="45">
        <v>635</v>
      </c>
      <c r="B418" s="46"/>
      <c r="C418" s="1234" t="s">
        <v>628</v>
      </c>
      <c r="D418" s="173"/>
      <c r="E418" s="276"/>
      <c r="F418" s="173"/>
      <c r="G418" s="276"/>
      <c r="H418" s="92"/>
      <c r="I418" s="276"/>
      <c r="J418" s="61"/>
      <c r="K418" s="276"/>
      <c r="L418" s="954"/>
      <c r="M418" s="62"/>
      <c r="N418" s="69"/>
      <c r="O418" s="62"/>
      <c r="P418" s="62"/>
      <c r="Q418" s="976">
        <v>192.34</v>
      </c>
      <c r="R418" s="976"/>
      <c r="S418" s="976">
        <v>192.34</v>
      </c>
      <c r="T418" s="976">
        <v>200</v>
      </c>
      <c r="U418" s="987">
        <v>200</v>
      </c>
      <c r="V418" s="976">
        <v>391.79</v>
      </c>
      <c r="W418" s="61"/>
    </row>
    <row r="419" spans="1:23" ht="12.75">
      <c r="A419" s="1206">
        <v>637</v>
      </c>
      <c r="B419" s="35"/>
      <c r="C419" s="36" t="s">
        <v>180</v>
      </c>
      <c r="D419" s="1235"/>
      <c r="E419" s="1236">
        <v>20</v>
      </c>
      <c r="F419" s="1235"/>
      <c r="G419" s="1236">
        <v>20</v>
      </c>
      <c r="H419" s="1084"/>
      <c r="I419" s="1237">
        <v>20</v>
      </c>
      <c r="J419" s="1086"/>
      <c r="K419" s="1096">
        <v>0</v>
      </c>
      <c r="L419" s="1198">
        <v>149</v>
      </c>
      <c r="M419" s="1238">
        <v>150</v>
      </c>
      <c r="N419" s="1239"/>
      <c r="O419" s="1238"/>
      <c r="P419" s="1238">
        <v>150</v>
      </c>
      <c r="Q419" s="1200">
        <v>0</v>
      </c>
      <c r="R419" s="1200">
        <v>150</v>
      </c>
      <c r="S419" s="1200">
        <v>0</v>
      </c>
      <c r="T419" s="1041">
        <v>150</v>
      </c>
      <c r="U419" s="131"/>
      <c r="V419" s="1200">
        <v>31.8</v>
      </c>
      <c r="W419" s="61"/>
    </row>
    <row r="420" spans="1:23" ht="12.75">
      <c r="A420" s="997" t="s">
        <v>629</v>
      </c>
      <c r="B420" s="998"/>
      <c r="C420" s="999" t="s">
        <v>630</v>
      </c>
      <c r="D420" s="266">
        <f>D384+D393+D409</f>
        <v>575000</v>
      </c>
      <c r="E420" s="266">
        <v>98856</v>
      </c>
      <c r="F420" s="266"/>
      <c r="G420" s="266">
        <v>245672</v>
      </c>
      <c r="H420" s="1114">
        <v>42.73</v>
      </c>
      <c r="I420" s="1115">
        <f>SUM(I384,I393,I409)</f>
        <v>432889.18</v>
      </c>
      <c r="J420" s="1240"/>
      <c r="K420" s="1050">
        <f aca="true" t="shared" si="2" ref="K420:P420">SUM(K384,K393,K409)</f>
        <v>585000</v>
      </c>
      <c r="L420" s="1050">
        <f t="shared" si="2"/>
        <v>602391</v>
      </c>
      <c r="M420" s="1050">
        <f t="shared" si="2"/>
        <v>565800</v>
      </c>
      <c r="N420" s="1003">
        <f t="shared" si="2"/>
        <v>126930.17</v>
      </c>
      <c r="O420" s="1051">
        <f t="shared" si="2"/>
        <v>64000</v>
      </c>
      <c r="P420" s="1050">
        <f t="shared" si="2"/>
        <v>629800</v>
      </c>
      <c r="Q420" s="1052">
        <f>Q384+Q393+Q409</f>
        <v>286499.02</v>
      </c>
      <c r="R420" s="1052">
        <f>R409+R393+R384</f>
        <v>629800</v>
      </c>
      <c r="S420" s="1052">
        <f>S384+S393+S409</f>
        <v>431258.14999999997</v>
      </c>
      <c r="T420" s="1052">
        <f>SUM(T384,T393,T409)</f>
        <v>669336.15</v>
      </c>
      <c r="U420" s="1241">
        <f>U384+U393+U409</f>
        <v>39536.15</v>
      </c>
      <c r="V420" s="1052">
        <f>V384+V393+V409</f>
        <v>679495.42</v>
      </c>
      <c r="W420" s="1006">
        <f>V420/T420*100</f>
        <v>101.51781283589717</v>
      </c>
    </row>
    <row r="421" spans="1:8" ht="12.75">
      <c r="A421" s="110"/>
      <c r="B421" s="110"/>
      <c r="C421" s="110"/>
      <c r="D421" s="1242"/>
      <c r="E421" s="1243"/>
      <c r="F421" s="1242"/>
      <c r="G421" s="1243"/>
      <c r="H421" s="1008"/>
    </row>
    <row r="422" spans="1:8" ht="12.75" hidden="1">
      <c r="A422" s="110"/>
      <c r="B422" s="110"/>
      <c r="C422" s="110"/>
      <c r="D422" s="1242"/>
      <c r="E422" s="1243"/>
      <c r="F422" s="1242"/>
      <c r="G422" s="1243"/>
      <c r="H422" s="1008"/>
    </row>
    <row r="423" spans="1:8" ht="12.75" hidden="1">
      <c r="A423" s="110"/>
      <c r="B423" s="110"/>
      <c r="C423" s="110"/>
      <c r="D423" s="1242"/>
      <c r="E423" s="1243"/>
      <c r="F423" s="1242"/>
      <c r="G423" s="1243"/>
      <c r="H423" s="1008"/>
    </row>
    <row r="424" spans="1:8" ht="12.75" hidden="1">
      <c r="A424" s="110"/>
      <c r="B424" s="110"/>
      <c r="C424" s="110"/>
      <c r="D424" s="1242"/>
      <c r="E424" s="1243"/>
      <c r="F424" s="1242"/>
      <c r="G424" s="1243"/>
      <c r="H424" s="1008"/>
    </row>
    <row r="425" spans="1:8" ht="12.75" hidden="1">
      <c r="A425" s="110"/>
      <c r="B425" s="110"/>
      <c r="C425" s="110"/>
      <c r="D425" s="1242"/>
      <c r="E425" s="1243"/>
      <c r="F425" s="1242"/>
      <c r="G425" s="1243"/>
      <c r="H425" s="1008"/>
    </row>
    <row r="426" spans="1:8" ht="12.75" hidden="1">
      <c r="A426" s="110"/>
      <c r="B426" s="110"/>
      <c r="C426" s="110"/>
      <c r="D426" s="1242"/>
      <c r="E426" s="1243"/>
      <c r="F426" s="1242"/>
      <c r="G426" s="1243"/>
      <c r="H426" s="1008"/>
    </row>
    <row r="427" spans="1:8" ht="12.75" hidden="1">
      <c r="A427" s="110"/>
      <c r="B427" s="110"/>
      <c r="C427" s="110"/>
      <c r="D427" s="1242"/>
      <c r="E427" s="1243"/>
      <c r="F427" s="1242"/>
      <c r="G427" s="1243"/>
      <c r="H427" s="1008"/>
    </row>
    <row r="428" spans="1:8" ht="12.75" hidden="1">
      <c r="A428" s="110"/>
      <c r="B428" s="110"/>
      <c r="C428" s="110"/>
      <c r="D428" s="1242"/>
      <c r="E428" s="1243"/>
      <c r="F428" s="1242"/>
      <c r="G428" s="1243"/>
      <c r="H428" s="1008"/>
    </row>
    <row r="429" spans="1:8" ht="12.75" hidden="1">
      <c r="A429" s="110"/>
      <c r="B429" s="110"/>
      <c r="C429" s="110"/>
      <c r="D429" s="1242"/>
      <c r="E429" s="1243"/>
      <c r="F429" s="1242"/>
      <c r="G429" s="1243"/>
      <c r="H429" s="1008"/>
    </row>
    <row r="430" spans="1:8" ht="12.75" hidden="1">
      <c r="A430" s="110"/>
      <c r="B430" s="110"/>
      <c r="C430" s="110"/>
      <c r="D430" s="1242"/>
      <c r="E430" s="1243"/>
      <c r="F430" s="1242"/>
      <c r="G430" s="1243"/>
      <c r="H430" s="1008"/>
    </row>
    <row r="431" spans="1:8" ht="12.75" hidden="1">
      <c r="A431" s="110"/>
      <c r="B431" s="110"/>
      <c r="C431" s="110"/>
      <c r="D431" s="1242"/>
      <c r="E431" s="1243"/>
      <c r="F431" s="1242"/>
      <c r="G431" s="1243"/>
      <c r="H431" s="1008"/>
    </row>
    <row r="432" spans="1:8" ht="12.75" hidden="1">
      <c r="A432" s="110"/>
      <c r="B432" s="110"/>
      <c r="C432" s="110"/>
      <c r="D432" s="1242"/>
      <c r="E432" s="1243"/>
      <c r="F432" s="1242"/>
      <c r="G432" s="1243"/>
      <c r="H432" s="1008"/>
    </row>
    <row r="433" spans="1:8" ht="12.75" hidden="1">
      <c r="A433" s="110"/>
      <c r="B433" s="110"/>
      <c r="C433" s="110"/>
      <c r="D433" s="1242"/>
      <c r="E433" s="1243"/>
      <c r="F433" s="1242"/>
      <c r="G433" s="1243"/>
      <c r="H433" s="1008"/>
    </row>
    <row r="434" spans="1:8" ht="12.75" hidden="1">
      <c r="A434" s="110"/>
      <c r="B434" s="110"/>
      <c r="C434" s="110"/>
      <c r="D434" s="1242"/>
      <c r="E434" s="1243"/>
      <c r="F434" s="1242"/>
      <c r="G434" s="1243"/>
      <c r="H434" s="1008"/>
    </row>
    <row r="435" spans="1:8" ht="12.75" hidden="1">
      <c r="A435" s="110"/>
      <c r="B435" s="110"/>
      <c r="C435" s="110"/>
      <c r="D435" s="1242"/>
      <c r="E435" s="1243"/>
      <c r="F435" s="1242"/>
      <c r="G435" s="1243"/>
      <c r="H435" s="1008"/>
    </row>
    <row r="436" spans="1:8" ht="12.75" hidden="1">
      <c r="A436" s="110"/>
      <c r="B436" s="110"/>
      <c r="C436" s="110"/>
      <c r="D436" s="1242"/>
      <c r="E436" s="1243"/>
      <c r="F436" s="1242"/>
      <c r="G436" s="1243"/>
      <c r="H436" s="1008"/>
    </row>
    <row r="437" spans="1:8" ht="12.75" hidden="1">
      <c r="A437" s="110"/>
      <c r="B437" s="110"/>
      <c r="C437" s="110"/>
      <c r="D437" s="1242"/>
      <c r="E437" s="1243"/>
      <c r="F437" s="1242"/>
      <c r="G437" s="1243"/>
      <c r="H437" s="1008"/>
    </row>
    <row r="438" spans="1:8" ht="12.75" hidden="1">
      <c r="A438" s="110"/>
      <c r="B438" s="110"/>
      <c r="C438" s="110"/>
      <c r="D438" s="1242"/>
      <c r="E438" s="1243"/>
      <c r="F438" s="1242"/>
      <c r="G438" s="1243"/>
      <c r="H438" s="1008"/>
    </row>
    <row r="439" spans="1:8" ht="12.75" hidden="1">
      <c r="A439" s="110"/>
      <c r="B439" s="110"/>
      <c r="C439" s="110"/>
      <c r="D439" s="1242"/>
      <c r="E439" s="1243"/>
      <c r="F439" s="1242"/>
      <c r="G439" s="1243"/>
      <c r="H439" s="1008"/>
    </row>
    <row r="440" spans="1:20" ht="12.75">
      <c r="A440" s="110"/>
      <c r="B440" s="110"/>
      <c r="C440" s="110"/>
      <c r="D440" s="1242"/>
      <c r="E440" s="1243"/>
      <c r="F440" s="1242"/>
      <c r="G440" s="1243"/>
      <c r="H440" s="1008"/>
      <c r="J440" s="1244" t="s">
        <v>631</v>
      </c>
      <c r="K440" s="1596" t="s">
        <v>631</v>
      </c>
      <c r="L440" s="1596"/>
      <c r="M440" s="1596"/>
      <c r="N440" s="1596"/>
      <c r="O440" s="1596"/>
      <c r="P440" s="1596"/>
      <c r="Q440" s="1596"/>
      <c r="R440" s="1596"/>
      <c r="S440" s="1596"/>
      <c r="T440" s="1596"/>
    </row>
    <row r="441" spans="1:8" ht="12.75">
      <c r="A441" s="110"/>
      <c r="B441" s="110"/>
      <c r="C441" s="110"/>
      <c r="D441" s="1242"/>
      <c r="E441" s="1243"/>
      <c r="F441" s="1242"/>
      <c r="G441" s="1243"/>
      <c r="H441" s="1008"/>
    </row>
    <row r="442" spans="1:23" s="1024" customFormat="1" ht="39.75" customHeight="1">
      <c r="A442" s="822" t="s">
        <v>414</v>
      </c>
      <c r="B442" s="823"/>
      <c r="C442" s="824"/>
      <c r="D442" s="825" t="s">
        <v>13</v>
      </c>
      <c r="E442" s="825" t="s">
        <v>14</v>
      </c>
      <c r="F442" s="826" t="s">
        <v>15</v>
      </c>
      <c r="G442" s="825" t="s">
        <v>16</v>
      </c>
      <c r="H442" s="826" t="s">
        <v>15</v>
      </c>
      <c r="I442" s="825" t="s">
        <v>17</v>
      </c>
      <c r="J442" s="827" t="s">
        <v>15</v>
      </c>
      <c r="K442" s="828" t="s">
        <v>20</v>
      </c>
      <c r="L442" s="829" t="s">
        <v>18</v>
      </c>
      <c r="M442" s="830">
        <v>2012</v>
      </c>
      <c r="N442" s="1245" t="s">
        <v>537</v>
      </c>
      <c r="O442" s="832" t="s">
        <v>20</v>
      </c>
      <c r="P442" s="832" t="s">
        <v>21</v>
      </c>
      <c r="Q442" s="21" t="s">
        <v>22</v>
      </c>
      <c r="R442" s="21" t="s">
        <v>436</v>
      </c>
      <c r="S442" s="21" t="s">
        <v>23</v>
      </c>
      <c r="T442" s="20" t="s">
        <v>24</v>
      </c>
      <c r="U442" s="19" t="s">
        <v>437</v>
      </c>
      <c r="V442" s="22" t="s">
        <v>26</v>
      </c>
      <c r="W442" s="827" t="s">
        <v>15</v>
      </c>
    </row>
    <row r="443" spans="1:23" s="289" customFormat="1" ht="11.25">
      <c r="A443" s="834" t="s">
        <v>632</v>
      </c>
      <c r="B443" s="1087"/>
      <c r="C443" s="1088"/>
      <c r="D443" s="1079">
        <f>D444+D445+D446+D448+D449+D453+D454</f>
        <v>42000</v>
      </c>
      <c r="E443" s="1079">
        <v>11768</v>
      </c>
      <c r="F443" s="1174">
        <v>27.36</v>
      </c>
      <c r="G443" s="1079">
        <v>20646</v>
      </c>
      <c r="H443" s="1175">
        <v>48.01</v>
      </c>
      <c r="I443" s="133">
        <f>I444+I445+I446+I448+I449+I453+I454+I455</f>
        <v>37544</v>
      </c>
      <c r="J443" s="1246">
        <v>81</v>
      </c>
      <c r="K443" s="839">
        <f>SUM(K444,K445,K446,K448,K449,K453,K454,K455,K456,K457,K458,K459,K460)</f>
        <v>67240</v>
      </c>
      <c r="L443" s="839">
        <f>L444+L445+L446+L447+L448+L449+L453+L454</f>
        <v>38335</v>
      </c>
      <c r="M443" s="839">
        <f>SUM(M444,M445,M446,M448,M449,M453,M454)</f>
        <v>33100</v>
      </c>
      <c r="N443" s="133">
        <f>N444+N445+N446+N447+N448+N449+N458+N460</f>
        <v>9532.04</v>
      </c>
      <c r="O443" s="840">
        <v>1050</v>
      </c>
      <c r="P443" s="1247">
        <f>SUM(P444,P445,P446,P448,P449,P453,P454)</f>
        <v>34150</v>
      </c>
      <c r="Q443" s="841">
        <f>Q444+Q445+Q446+Q448+Q449+Q453+Q454</f>
        <v>20602.32</v>
      </c>
      <c r="R443" s="1248">
        <f>R444+R445+R446+R447+R448+R449+R453+R454</f>
        <v>34150</v>
      </c>
      <c r="S443" s="1248">
        <f>S444+S445+S446+S448+S449+S453+S460+S458</f>
        <v>26848.73</v>
      </c>
      <c r="T443" s="1248">
        <f>T444+T445+T446+T448+T449+T453+T454</f>
        <v>40650</v>
      </c>
      <c r="U443" s="1031">
        <f>U458+U444+U446-U449+U445</f>
        <v>6500</v>
      </c>
      <c r="V443" s="1249">
        <f>V444+V445+V446+V448+V449+V453+V460+V458</f>
        <v>39059.520000000004</v>
      </c>
      <c r="W443" s="843">
        <f>V443/T443*100</f>
        <v>96.08738007380074</v>
      </c>
    </row>
    <row r="444" spans="1:23" ht="12.75">
      <c r="A444" s="34" t="s">
        <v>633</v>
      </c>
      <c r="B444" s="35"/>
      <c r="C444" s="35" t="s">
        <v>389</v>
      </c>
      <c r="D444" s="38">
        <v>4500</v>
      </c>
      <c r="E444" s="38">
        <v>947</v>
      </c>
      <c r="F444" s="138"/>
      <c r="G444" s="38">
        <v>1552</v>
      </c>
      <c r="H444" s="1250"/>
      <c r="I444" s="38">
        <v>2547</v>
      </c>
      <c r="J444" s="951"/>
      <c r="K444" s="62">
        <v>3500</v>
      </c>
      <c r="L444" s="131">
        <v>3863</v>
      </c>
      <c r="M444" s="131">
        <v>3500</v>
      </c>
      <c r="N444" s="38">
        <v>703.53</v>
      </c>
      <c r="O444" s="131"/>
      <c r="P444" s="131">
        <v>3500</v>
      </c>
      <c r="Q444" s="186">
        <v>1707.75</v>
      </c>
      <c r="R444" s="186">
        <v>3500</v>
      </c>
      <c r="S444" s="186">
        <v>2722.41</v>
      </c>
      <c r="T444" s="1251">
        <v>3900</v>
      </c>
      <c r="U444" s="1252">
        <v>400</v>
      </c>
      <c r="V444" s="233">
        <v>3864.02</v>
      </c>
      <c r="W444" s="61"/>
    </row>
    <row r="445" spans="1:23" ht="12.75">
      <c r="A445" s="34" t="s">
        <v>633</v>
      </c>
      <c r="B445" s="35"/>
      <c r="C445" s="35" t="s">
        <v>390</v>
      </c>
      <c r="D445" s="38">
        <v>5000</v>
      </c>
      <c r="E445" s="38">
        <v>1140</v>
      </c>
      <c r="F445" s="138"/>
      <c r="G445" s="38">
        <v>5240</v>
      </c>
      <c r="H445" s="1253"/>
      <c r="I445" s="38">
        <v>5240</v>
      </c>
      <c r="J445" s="1254"/>
      <c r="K445" s="62">
        <v>5240</v>
      </c>
      <c r="L445" s="131">
        <v>5240</v>
      </c>
      <c r="M445" s="131">
        <v>2800</v>
      </c>
      <c r="N445" s="38"/>
      <c r="O445" s="131"/>
      <c r="P445" s="131">
        <v>2800</v>
      </c>
      <c r="Q445" s="186">
        <v>2734.8</v>
      </c>
      <c r="R445" s="186">
        <v>2800</v>
      </c>
      <c r="S445" s="186">
        <v>2734.8</v>
      </c>
      <c r="T445" s="1251">
        <f>R445+U445</f>
        <v>8800</v>
      </c>
      <c r="U445" s="1252">
        <v>6000</v>
      </c>
      <c r="V445" s="233">
        <v>8386.37</v>
      </c>
      <c r="W445" s="61"/>
    </row>
    <row r="446" spans="1:23" ht="12.75">
      <c r="A446" s="34" t="s">
        <v>393</v>
      </c>
      <c r="B446" s="35"/>
      <c r="C446" s="35" t="s">
        <v>634</v>
      </c>
      <c r="D446" s="38">
        <v>500</v>
      </c>
      <c r="E446" s="38">
        <v>439</v>
      </c>
      <c r="F446" s="138"/>
      <c r="G446" s="38">
        <v>599</v>
      </c>
      <c r="H446" s="1255"/>
      <c r="I446" s="38">
        <v>599</v>
      </c>
      <c r="J446" s="201"/>
      <c r="K446" s="38">
        <v>600</v>
      </c>
      <c r="L446" s="38">
        <v>439</v>
      </c>
      <c r="M446" s="38">
        <v>500</v>
      </c>
      <c r="N446" s="38">
        <v>600</v>
      </c>
      <c r="O446" s="38"/>
      <c r="P446" s="38">
        <v>500</v>
      </c>
      <c r="Q446" s="138">
        <v>600</v>
      </c>
      <c r="R446" s="138">
        <v>500</v>
      </c>
      <c r="S446" s="138">
        <v>600</v>
      </c>
      <c r="T446" s="1251">
        <v>600</v>
      </c>
      <c r="U446" s="1252">
        <v>100</v>
      </c>
      <c r="V446" s="168">
        <v>600</v>
      </c>
      <c r="W446" s="61"/>
    </row>
    <row r="447" spans="1:23" ht="12.75">
      <c r="A447" s="34" t="s">
        <v>393</v>
      </c>
      <c r="B447" s="35"/>
      <c r="C447" s="35" t="s">
        <v>635</v>
      </c>
      <c r="D447" s="38">
        <v>0</v>
      </c>
      <c r="E447" s="38">
        <v>0</v>
      </c>
      <c r="F447" s="138"/>
      <c r="G447" s="38"/>
      <c r="H447" s="1255"/>
      <c r="I447" s="38"/>
      <c r="J447" s="201"/>
      <c r="K447" s="38">
        <v>0</v>
      </c>
      <c r="L447" s="38">
        <v>410</v>
      </c>
      <c r="M447" s="131">
        <v>0</v>
      </c>
      <c r="N447" s="38"/>
      <c r="O447" s="131"/>
      <c r="P447" s="131">
        <v>0</v>
      </c>
      <c r="Q447" s="186"/>
      <c r="R447" s="186">
        <v>0</v>
      </c>
      <c r="S447" s="186"/>
      <c r="T447" s="40"/>
      <c r="U447" s="851"/>
      <c r="V447" s="233"/>
      <c r="W447" s="61"/>
    </row>
    <row r="448" spans="1:23" s="33" customFormat="1" ht="12.75">
      <c r="A448" s="1256" t="s">
        <v>636</v>
      </c>
      <c r="B448" s="35"/>
      <c r="C448" s="35" t="s">
        <v>637</v>
      </c>
      <c r="D448" s="38">
        <v>1000</v>
      </c>
      <c r="E448" s="38">
        <v>160</v>
      </c>
      <c r="F448" s="138"/>
      <c r="G448" s="38">
        <v>80</v>
      </c>
      <c r="H448" s="1253"/>
      <c r="I448" s="38">
        <v>1084</v>
      </c>
      <c r="J448" s="201"/>
      <c r="K448" s="38">
        <v>1100</v>
      </c>
      <c r="L448" s="38">
        <v>584</v>
      </c>
      <c r="M448" s="38">
        <v>1000</v>
      </c>
      <c r="N448" s="38">
        <v>40</v>
      </c>
      <c r="O448" s="38"/>
      <c r="P448" s="38">
        <v>1000</v>
      </c>
      <c r="Q448" s="138">
        <v>60</v>
      </c>
      <c r="R448" s="138">
        <v>1000</v>
      </c>
      <c r="S448" s="138">
        <v>60</v>
      </c>
      <c r="T448" s="1251">
        <v>1000</v>
      </c>
      <c r="U448" s="851"/>
      <c r="V448" s="168">
        <v>370</v>
      </c>
      <c r="W448" s="169"/>
    </row>
    <row r="449" spans="1:23" ht="12.75">
      <c r="A449" s="1257" t="s">
        <v>638</v>
      </c>
      <c r="B449" s="1258"/>
      <c r="C449" s="1259" t="s">
        <v>639</v>
      </c>
      <c r="D449" s="1260">
        <f>D450+D451</f>
        <v>9000</v>
      </c>
      <c r="E449" s="1260">
        <v>2970</v>
      </c>
      <c r="F449" s="1261"/>
      <c r="G449" s="1260">
        <v>5483</v>
      </c>
      <c r="H449" s="1262"/>
      <c r="I449" s="1260">
        <f>I450+I451+I452</f>
        <v>8298</v>
      </c>
      <c r="J449" s="1263"/>
      <c r="K449" s="37">
        <f>SUM(K450,K451,K452)</f>
        <v>10000</v>
      </c>
      <c r="L449" s="37">
        <f>SUM(L450,L451,L452)</f>
        <v>11732</v>
      </c>
      <c r="M449" s="37">
        <f>SUM(M450,M451,M452)</f>
        <v>11500</v>
      </c>
      <c r="N449" s="1260">
        <f>N450+N451</f>
        <v>3054.93</v>
      </c>
      <c r="O449" s="37"/>
      <c r="P449" s="37">
        <f>SUM(P450,P451,P452)</f>
        <v>11500</v>
      </c>
      <c r="Q449" s="40">
        <f>Q450+Q451+Q452</f>
        <v>4681.98</v>
      </c>
      <c r="R449" s="40">
        <f>R450+R451</f>
        <v>11500</v>
      </c>
      <c r="S449" s="40">
        <f>S450+S451</f>
        <v>7312.53</v>
      </c>
      <c r="T449" s="40">
        <f>SUM(T450,T451,T452)</f>
        <v>10000</v>
      </c>
      <c r="U449" s="1264">
        <v>1500</v>
      </c>
      <c r="V449" s="43">
        <f>V450+V451</f>
        <v>9939.27</v>
      </c>
      <c r="W449" s="61"/>
    </row>
    <row r="450" spans="1:23" ht="12.75">
      <c r="A450" s="34"/>
      <c r="B450" s="844" t="s">
        <v>605</v>
      </c>
      <c r="C450" s="993" t="s">
        <v>439</v>
      </c>
      <c r="D450" s="1265">
        <v>8000</v>
      </c>
      <c r="E450" s="1265">
        <v>2216</v>
      </c>
      <c r="F450" s="1266"/>
      <c r="G450" s="1265">
        <v>4123</v>
      </c>
      <c r="H450" s="1267"/>
      <c r="I450" s="1265">
        <v>6413</v>
      </c>
      <c r="J450" s="201"/>
      <c r="K450" s="38">
        <v>8000</v>
      </c>
      <c r="L450" s="974">
        <v>8946</v>
      </c>
      <c r="M450" s="973">
        <v>8000</v>
      </c>
      <c r="N450" s="1268">
        <v>2655.66</v>
      </c>
      <c r="O450" s="973"/>
      <c r="P450" s="973">
        <v>8000</v>
      </c>
      <c r="Q450" s="975">
        <v>4448.08</v>
      </c>
      <c r="R450" s="975">
        <v>8000</v>
      </c>
      <c r="S450" s="975">
        <v>6668.9</v>
      </c>
      <c r="T450" s="976">
        <v>9200</v>
      </c>
      <c r="U450" s="1128">
        <v>1200</v>
      </c>
      <c r="V450" s="1269">
        <v>8914.02</v>
      </c>
      <c r="W450" s="61"/>
    </row>
    <row r="451" spans="1:23" ht="12.75">
      <c r="A451" s="34"/>
      <c r="B451" s="844" t="s">
        <v>606</v>
      </c>
      <c r="C451" s="993" t="s">
        <v>337</v>
      </c>
      <c r="D451" s="1265">
        <v>1000</v>
      </c>
      <c r="E451" s="1265">
        <v>754</v>
      </c>
      <c r="F451" s="1266"/>
      <c r="G451" s="1265">
        <v>1360</v>
      </c>
      <c r="H451" s="1270"/>
      <c r="I451" s="1265">
        <v>1885</v>
      </c>
      <c r="J451" s="201"/>
      <c r="K451" s="38">
        <v>2000</v>
      </c>
      <c r="L451" s="974">
        <v>2786</v>
      </c>
      <c r="M451" s="973">
        <v>3500</v>
      </c>
      <c r="N451" s="1268">
        <v>399.27</v>
      </c>
      <c r="O451" s="973"/>
      <c r="P451" s="973">
        <v>3500</v>
      </c>
      <c r="Q451" s="975">
        <v>233.9</v>
      </c>
      <c r="R451" s="975">
        <v>3500</v>
      </c>
      <c r="S451" s="975">
        <v>643.63</v>
      </c>
      <c r="T451" s="976">
        <v>800</v>
      </c>
      <c r="U451" s="1125">
        <v>2700</v>
      </c>
      <c r="V451" s="1269">
        <v>1025.25</v>
      </c>
      <c r="W451" s="61"/>
    </row>
    <row r="452" spans="1:23" ht="12.75">
      <c r="A452" s="34"/>
      <c r="B452" s="844">
        <v>642</v>
      </c>
      <c r="C452" s="993" t="s">
        <v>280</v>
      </c>
      <c r="D452" s="1265"/>
      <c r="E452" s="1265">
        <v>0</v>
      </c>
      <c r="F452" s="1266"/>
      <c r="G452" s="1265">
        <v>0</v>
      </c>
      <c r="H452" s="1271"/>
      <c r="I452" s="1265">
        <v>0</v>
      </c>
      <c r="J452" s="201"/>
      <c r="K452" s="38">
        <v>0</v>
      </c>
      <c r="L452" s="974">
        <v>0</v>
      </c>
      <c r="M452" s="38">
        <v>0</v>
      </c>
      <c r="N452" s="1268"/>
      <c r="O452" s="38"/>
      <c r="P452" s="38">
        <v>0</v>
      </c>
      <c r="Q452" s="975">
        <v>0</v>
      </c>
      <c r="R452" s="975">
        <v>0</v>
      </c>
      <c r="S452" s="975">
        <v>0</v>
      </c>
      <c r="T452" s="976">
        <v>0</v>
      </c>
      <c r="U452" s="131"/>
      <c r="V452" s="1269">
        <v>0</v>
      </c>
      <c r="W452" s="61"/>
    </row>
    <row r="453" spans="1:23" ht="12.75">
      <c r="A453" s="1257" t="s">
        <v>633</v>
      </c>
      <c r="B453" s="1272"/>
      <c r="C453" s="1183" t="s">
        <v>391</v>
      </c>
      <c r="D453" s="1260">
        <v>2000</v>
      </c>
      <c r="E453" s="1260">
        <v>539</v>
      </c>
      <c r="F453" s="1261"/>
      <c r="G453" s="1260">
        <v>926</v>
      </c>
      <c r="H453" s="1262"/>
      <c r="I453" s="1260">
        <v>1366</v>
      </c>
      <c r="J453" s="1263"/>
      <c r="K453" s="37">
        <v>2000</v>
      </c>
      <c r="L453" s="37">
        <v>1861</v>
      </c>
      <c r="M453" s="37">
        <v>500</v>
      </c>
      <c r="N453" s="1260"/>
      <c r="O453" s="37"/>
      <c r="P453" s="37">
        <v>500</v>
      </c>
      <c r="Q453" s="40">
        <v>419.44</v>
      </c>
      <c r="R453" s="40">
        <v>500</v>
      </c>
      <c r="S453" s="40">
        <v>419.44</v>
      </c>
      <c r="T453" s="1251">
        <v>500</v>
      </c>
      <c r="U453" s="131"/>
      <c r="V453" s="43">
        <v>419.44</v>
      </c>
      <c r="W453" s="61"/>
    </row>
    <row r="454" spans="1:23" ht="12.75">
      <c r="A454" s="1257" t="s">
        <v>640</v>
      </c>
      <c r="B454" s="1272"/>
      <c r="C454" s="1259" t="s">
        <v>641</v>
      </c>
      <c r="D454" s="1260">
        <v>20000</v>
      </c>
      <c r="E454" s="1260">
        <v>5573</v>
      </c>
      <c r="F454" s="1261"/>
      <c r="G454" s="1260">
        <v>10571</v>
      </c>
      <c r="H454" s="1262"/>
      <c r="I454" s="1260">
        <v>17510</v>
      </c>
      <c r="J454" s="1263"/>
      <c r="K454" s="37">
        <f>SUM(K455,K456,K457,K458,K459,K460)</f>
        <v>22400</v>
      </c>
      <c r="L454" s="37">
        <v>14206</v>
      </c>
      <c r="M454" s="37">
        <f>SUM(M455,M456,M457,M458,M459,M460)</f>
        <v>13300</v>
      </c>
      <c r="N454" s="1260"/>
      <c r="O454" s="37"/>
      <c r="P454" s="37">
        <f>SUM(P455,P456,P457,P458,P459,P460)</f>
        <v>14350</v>
      </c>
      <c r="Q454" s="40">
        <f>SUM(Q455:Q460)</f>
        <v>10398.35</v>
      </c>
      <c r="R454" s="40">
        <f>R458+R460</f>
        <v>14350</v>
      </c>
      <c r="S454" s="40"/>
      <c r="T454" s="40">
        <f>SUM(T455,T456,T457,T458,T459,T460)</f>
        <v>15850</v>
      </c>
      <c r="U454" s="1273">
        <v>1500</v>
      </c>
      <c r="V454" s="43">
        <f>V458+V460</f>
        <v>15480.42</v>
      </c>
      <c r="W454" s="61"/>
    </row>
    <row r="455" spans="1:23" ht="12.75">
      <c r="A455" s="1274" t="s">
        <v>636</v>
      </c>
      <c r="B455" s="1275">
        <v>642</v>
      </c>
      <c r="C455" s="1226" t="s">
        <v>642</v>
      </c>
      <c r="D455" s="1276"/>
      <c r="E455" s="1276"/>
      <c r="F455" s="1277"/>
      <c r="G455" s="1276"/>
      <c r="H455" s="1278"/>
      <c r="I455" s="1265">
        <v>900</v>
      </c>
      <c r="J455" s="201"/>
      <c r="K455" s="973">
        <v>900</v>
      </c>
      <c r="L455" s="916">
        <v>900</v>
      </c>
      <c r="M455" s="38">
        <v>0</v>
      </c>
      <c r="N455" s="1268"/>
      <c r="O455" s="38"/>
      <c r="P455" s="38">
        <v>0</v>
      </c>
      <c r="Q455" s="975">
        <v>0</v>
      </c>
      <c r="R455" s="975"/>
      <c r="S455" s="975"/>
      <c r="T455" s="186">
        <v>0</v>
      </c>
      <c r="U455" s="131"/>
      <c r="V455" s="1269"/>
      <c r="W455" s="61"/>
    </row>
    <row r="456" spans="1:23" ht="12.75">
      <c r="A456" s="34" t="s">
        <v>643</v>
      </c>
      <c r="B456" s="35"/>
      <c r="C456" s="35" t="s">
        <v>644</v>
      </c>
      <c r="D456" s="973">
        <v>0</v>
      </c>
      <c r="E456" s="973">
        <v>0</v>
      </c>
      <c r="F456" s="975"/>
      <c r="G456" s="973">
        <v>0</v>
      </c>
      <c r="H456" s="53"/>
      <c r="I456" s="973">
        <v>0</v>
      </c>
      <c r="J456" s="1263"/>
      <c r="K456" s="973">
        <v>0</v>
      </c>
      <c r="L456" s="38">
        <v>0</v>
      </c>
      <c r="M456" s="38">
        <v>0</v>
      </c>
      <c r="N456" s="973"/>
      <c r="O456" s="38"/>
      <c r="P456" s="38">
        <v>0</v>
      </c>
      <c r="Q456" s="975">
        <v>0</v>
      </c>
      <c r="R456" s="975"/>
      <c r="S456" s="975"/>
      <c r="T456" s="186">
        <v>0</v>
      </c>
      <c r="U456" s="131"/>
      <c r="V456" s="1269"/>
      <c r="W456" s="61"/>
    </row>
    <row r="457" spans="1:23" ht="12.75">
      <c r="A457" s="896" t="s">
        <v>645</v>
      </c>
      <c r="B457" s="897"/>
      <c r="C457" s="897" t="s">
        <v>646</v>
      </c>
      <c r="D457" s="1210">
        <v>3000</v>
      </c>
      <c r="E457" s="1210">
        <v>1477</v>
      </c>
      <c r="F457" s="1279"/>
      <c r="G457" s="1210">
        <v>1477</v>
      </c>
      <c r="H457" s="1255"/>
      <c r="I457" s="1210">
        <v>3021</v>
      </c>
      <c r="J457" s="1280"/>
      <c r="K457" s="1281">
        <v>3000</v>
      </c>
      <c r="L457" s="1210">
        <v>2988</v>
      </c>
      <c r="M457" s="923"/>
      <c r="N457" s="1210"/>
      <c r="O457" s="923"/>
      <c r="P457" s="923"/>
      <c r="Q457" s="1282">
        <v>0</v>
      </c>
      <c r="R457" s="1282"/>
      <c r="S457" s="1282"/>
      <c r="T457" s="1283"/>
      <c r="U457" s="1284"/>
      <c r="V457" s="1285"/>
      <c r="W457" s="61"/>
    </row>
    <row r="458" spans="1:23" ht="12.75">
      <c r="A458" s="1286" t="s">
        <v>643</v>
      </c>
      <c r="B458" s="1287"/>
      <c r="C458" s="1287" t="s">
        <v>647</v>
      </c>
      <c r="D458" s="1211">
        <v>8500</v>
      </c>
      <c r="E458" s="1211">
        <v>2646</v>
      </c>
      <c r="F458" s="1288"/>
      <c r="G458" s="1211">
        <v>6250</v>
      </c>
      <c r="H458" s="1289"/>
      <c r="I458" s="1211">
        <v>10755</v>
      </c>
      <c r="J458" s="1290"/>
      <c r="K458" s="1291">
        <v>13000</v>
      </c>
      <c r="L458" s="1292">
        <v>12426</v>
      </c>
      <c r="M458" s="1291">
        <v>13000</v>
      </c>
      <c r="N458" s="1211">
        <v>4844.9</v>
      </c>
      <c r="O458" s="1291"/>
      <c r="P458" s="1291">
        <v>13000</v>
      </c>
      <c r="Q458" s="1293">
        <v>9592.65</v>
      </c>
      <c r="R458" s="1293">
        <v>13000</v>
      </c>
      <c r="S458" s="1293">
        <v>11766.65</v>
      </c>
      <c r="T458" s="1294">
        <v>14500</v>
      </c>
      <c r="U458" s="1295">
        <v>1500</v>
      </c>
      <c r="V458" s="1296">
        <v>14179.9</v>
      </c>
      <c r="W458" s="61"/>
    </row>
    <row r="459" spans="1:25" ht="12.75">
      <c r="A459" s="896" t="s">
        <v>645</v>
      </c>
      <c r="B459" s="897"/>
      <c r="C459" s="897" t="s">
        <v>648</v>
      </c>
      <c r="D459" s="1210">
        <v>5500</v>
      </c>
      <c r="E459" s="1210">
        <v>1164</v>
      </c>
      <c r="F459" s="1279"/>
      <c r="G459" s="1210">
        <v>2328</v>
      </c>
      <c r="H459" s="1255"/>
      <c r="I459" s="1210">
        <v>2328</v>
      </c>
      <c r="J459" s="1297"/>
      <c r="K459" s="1281">
        <v>4500</v>
      </c>
      <c r="L459" s="1210">
        <v>3740</v>
      </c>
      <c r="M459" s="1281"/>
      <c r="N459" s="1210"/>
      <c r="O459" s="1281"/>
      <c r="P459" s="1281"/>
      <c r="Q459" s="1282">
        <v>0</v>
      </c>
      <c r="R459" s="1282"/>
      <c r="S459" s="1282"/>
      <c r="T459" s="1294"/>
      <c r="U459" s="1284"/>
      <c r="V459" s="1285"/>
      <c r="W459" s="61"/>
      <c r="Y459" s="162"/>
    </row>
    <row r="460" spans="1:23" s="162" customFormat="1" ht="12.75">
      <c r="A460" s="896" t="s">
        <v>643</v>
      </c>
      <c r="B460" s="897"/>
      <c r="C460" s="897" t="s">
        <v>649</v>
      </c>
      <c r="D460" s="1210">
        <v>1000</v>
      </c>
      <c r="E460" s="1210">
        <v>286</v>
      </c>
      <c r="F460" s="1279"/>
      <c r="G460" s="1210">
        <v>506</v>
      </c>
      <c r="H460" s="1255"/>
      <c r="I460" s="1210">
        <v>506</v>
      </c>
      <c r="J460" s="1254"/>
      <c r="K460" s="1298">
        <v>1000</v>
      </c>
      <c r="L460" s="1140">
        <v>880</v>
      </c>
      <c r="M460" s="1298">
        <v>300</v>
      </c>
      <c r="N460" s="1210">
        <v>288.68</v>
      </c>
      <c r="O460" s="1299">
        <v>1050</v>
      </c>
      <c r="P460" s="1298">
        <v>1350</v>
      </c>
      <c r="Q460" s="1294">
        <v>805.7</v>
      </c>
      <c r="R460" s="1294">
        <v>1350</v>
      </c>
      <c r="S460" s="1294">
        <v>1232.9</v>
      </c>
      <c r="T460" s="1294">
        <v>1350</v>
      </c>
      <c r="U460" s="1284"/>
      <c r="V460" s="1300">
        <v>1300.52</v>
      </c>
      <c r="W460" s="1301"/>
    </row>
    <row r="461" spans="1:23" ht="12.75">
      <c r="A461" s="997" t="s">
        <v>332</v>
      </c>
      <c r="B461" s="998"/>
      <c r="C461" s="999" t="s">
        <v>650</v>
      </c>
      <c r="D461" s="1000">
        <v>67240</v>
      </c>
      <c r="E461" s="1000">
        <v>11768</v>
      </c>
      <c r="F461" s="1001">
        <v>27.36</v>
      </c>
      <c r="G461" s="1000">
        <v>20646</v>
      </c>
      <c r="H461" s="1002">
        <v>48.01</v>
      </c>
      <c r="I461" s="1003">
        <f>I443</f>
        <v>37544</v>
      </c>
      <c r="J461" s="1302">
        <v>81</v>
      </c>
      <c r="K461" s="1303">
        <f>SUM(K443)</f>
        <v>67240</v>
      </c>
      <c r="L461" s="1303">
        <f>SUM(L443)</f>
        <v>38335</v>
      </c>
      <c r="M461" s="1303">
        <f>SUM(M443)</f>
        <v>33100</v>
      </c>
      <c r="N461" s="1003">
        <f>N443</f>
        <v>9532.04</v>
      </c>
      <c r="O461" s="1304">
        <v>1050</v>
      </c>
      <c r="P461" s="1305">
        <f>SUM(P444,P445,P446,P447,P448,P449,P452,P453,P454,P455,P456)</f>
        <v>34150</v>
      </c>
      <c r="Q461" s="1306">
        <f>Q443</f>
        <v>20602.32</v>
      </c>
      <c r="R461" s="1307">
        <f>R443</f>
        <v>34150</v>
      </c>
      <c r="S461" s="1307">
        <f>S443</f>
        <v>26848.73</v>
      </c>
      <c r="T461" s="1307">
        <f>SUM(T443)</f>
        <v>40650</v>
      </c>
      <c r="U461" s="1308">
        <f>U444+U446+U454-U449+U445</f>
        <v>6500</v>
      </c>
      <c r="V461" s="1309">
        <f>V443</f>
        <v>39059.520000000004</v>
      </c>
      <c r="W461" s="1006">
        <f>V461/T461*100</f>
        <v>96.08738007380074</v>
      </c>
    </row>
    <row r="462" spans="1:23" ht="12.75">
      <c r="A462" s="206" t="s">
        <v>651</v>
      </c>
      <c r="B462" s="247"/>
      <c r="C462" s="208"/>
      <c r="D462" s="209">
        <v>1196640</v>
      </c>
      <c r="E462" s="209">
        <v>291286</v>
      </c>
      <c r="F462" s="212">
        <v>25.76</v>
      </c>
      <c r="G462" s="209">
        <v>575933</v>
      </c>
      <c r="H462" s="1310">
        <v>50.94</v>
      </c>
      <c r="I462" s="210" t="e">
        <f>SUM(I90,I106,I156,I211,I261,I297,I378,I311,I420,I461)</f>
        <v>#VALUE!</v>
      </c>
      <c r="J462" s="1311"/>
      <c r="K462" s="1312">
        <v>1196640</v>
      </c>
      <c r="L462" s="1312">
        <f>SUM(L90,L106,L156,L211,L261,L297,L311,L378,L420,L461)</f>
        <v>1275619</v>
      </c>
      <c r="M462" s="1312">
        <f>SUM(M90,M106,M156,M211,M261,M297,M311,M378,M420,M461)</f>
        <v>1106557</v>
      </c>
      <c r="N462" s="210">
        <f>SUM(N90,N106,N156,N211,N261,N297,N311,N378,N420,N461)</f>
        <v>270608.94</v>
      </c>
      <c r="O462" s="1313">
        <f>O90+O106+O156+O211-O311-O378+O420+O461</f>
        <v>54843</v>
      </c>
      <c r="P462" s="1314">
        <f>SUM(P90,P106,P156,P211,P261,P297,P311,P378,P420,P461)</f>
        <v>1161400</v>
      </c>
      <c r="Q462" s="1315">
        <f>Q461+Q420+Q378+Q311+Q297+Q261+Q211+Q156+Q106+Q90</f>
        <v>575728.13</v>
      </c>
      <c r="R462" s="1316">
        <f>R461+R420+R378+R311+R297+R261+R211+R156+R106+R90</f>
        <v>1161400</v>
      </c>
      <c r="S462" s="1316">
        <f>S461+S420+S378+S311+S297+S261+S211+S156+S106+S90</f>
        <v>864469.0400000002</v>
      </c>
      <c r="T462" s="1316">
        <f>SUM(T90,T106,T156,T211,T261,T297,T311,T378,T420,T461)</f>
        <v>1266508.7200000002</v>
      </c>
      <c r="U462" s="1317">
        <f>U90+U106+U156+U211+U261+U297+U311+U378+U420+U461</f>
        <v>107608.72</v>
      </c>
      <c r="V462" s="1318">
        <f>V461+V420+V378+V311+V297+V261+V211+V156+V106+V90</f>
        <v>1271012.42</v>
      </c>
      <c r="W462" s="1319">
        <f>V462/T462*100</f>
        <v>100.35559960455697</v>
      </c>
    </row>
    <row r="463" spans="1:8" ht="12.75">
      <c r="A463" s="286"/>
      <c r="B463" s="5"/>
      <c r="C463" s="286"/>
      <c r="D463" s="286"/>
      <c r="E463" s="286"/>
      <c r="F463" s="286"/>
      <c r="G463" s="1320"/>
      <c r="H463" s="1022"/>
    </row>
    <row r="464" spans="1:22" ht="12.75">
      <c r="A464" s="286"/>
      <c r="B464" s="5"/>
      <c r="C464" s="286"/>
      <c r="D464" s="286"/>
      <c r="E464" s="286"/>
      <c r="F464" s="286"/>
      <c r="G464" s="1320"/>
      <c r="H464" s="1022"/>
      <c r="V464" s="79"/>
    </row>
    <row r="465" spans="1:8" ht="12.75">
      <c r="A465" s="286"/>
      <c r="B465" s="5"/>
      <c r="C465" s="286"/>
      <c r="D465" s="286"/>
      <c r="E465" s="286"/>
      <c r="F465" s="286"/>
      <c r="G465" s="1320"/>
      <c r="H465" s="1022"/>
    </row>
    <row r="466" spans="1:8" ht="12.75">
      <c r="A466" s="286"/>
      <c r="B466" s="5"/>
      <c r="C466" s="286"/>
      <c r="D466" s="286"/>
      <c r="E466" s="286"/>
      <c r="F466" s="286"/>
      <c r="G466" s="1320"/>
      <c r="H466" s="1022"/>
    </row>
    <row r="467" spans="1:8" ht="12.75">
      <c r="A467" s="286"/>
      <c r="B467" s="5"/>
      <c r="C467" s="286"/>
      <c r="D467" s="286"/>
      <c r="E467" s="286"/>
      <c r="F467" s="286"/>
      <c r="G467" s="1320"/>
      <c r="H467" s="1022"/>
    </row>
    <row r="468" spans="1:8" ht="12.75">
      <c r="A468" s="286"/>
      <c r="B468" s="5"/>
      <c r="C468" s="286"/>
      <c r="D468" s="286"/>
      <c r="E468" s="286"/>
      <c r="F468" s="286"/>
      <c r="G468" s="1320"/>
      <c r="H468" s="1022"/>
    </row>
    <row r="469" spans="1:8" ht="12.75">
      <c r="A469" s="286"/>
      <c r="B469" s="5"/>
      <c r="C469" s="286"/>
      <c r="D469" s="286"/>
      <c r="E469" s="286"/>
      <c r="F469" s="286"/>
      <c r="G469" s="1320"/>
      <c r="H469" s="1022"/>
    </row>
    <row r="470" spans="1:8" ht="12.75">
      <c r="A470" s="286"/>
      <c r="B470" s="5"/>
      <c r="C470" s="286"/>
      <c r="D470" s="286"/>
      <c r="E470" s="286"/>
      <c r="F470" s="286"/>
      <c r="G470" s="1320"/>
      <c r="H470" s="1022"/>
    </row>
    <row r="471" spans="1:8" ht="12.75">
      <c r="A471" s="286"/>
      <c r="B471" s="5"/>
      <c r="C471" s="286"/>
      <c r="D471" s="286"/>
      <c r="E471" s="286"/>
      <c r="F471" s="286"/>
      <c r="G471" s="1320"/>
      <c r="H471" s="1022"/>
    </row>
    <row r="472" spans="1:8" ht="12.75" hidden="1">
      <c r="A472" s="286"/>
      <c r="B472" s="5"/>
      <c r="C472" s="286"/>
      <c r="D472" s="286"/>
      <c r="E472" s="286"/>
      <c r="F472" s="286"/>
      <c r="G472" s="1320"/>
      <c r="H472" s="1022"/>
    </row>
    <row r="473" spans="1:8" ht="12.75" hidden="1">
      <c r="A473" s="286"/>
      <c r="B473" s="5"/>
      <c r="C473" s="286"/>
      <c r="D473" s="286"/>
      <c r="E473" s="286"/>
      <c r="F473" s="286"/>
      <c r="G473" s="1320"/>
      <c r="H473" s="1022"/>
    </row>
    <row r="474" spans="1:8" ht="12.75" hidden="1">
      <c r="A474" s="286"/>
      <c r="B474" s="5"/>
      <c r="C474" s="286"/>
      <c r="D474" s="286"/>
      <c r="E474" s="286"/>
      <c r="F474" s="286"/>
      <c r="G474" s="1320"/>
      <c r="H474" s="1022"/>
    </row>
    <row r="475" spans="1:8" ht="12.75" hidden="1">
      <c r="A475" s="286"/>
      <c r="B475" s="5"/>
      <c r="C475" s="286"/>
      <c r="D475" s="286"/>
      <c r="E475" s="286"/>
      <c r="F475" s="286"/>
      <c r="G475" s="1320"/>
      <c r="H475" s="1022"/>
    </row>
    <row r="476" spans="1:8" ht="12.75" hidden="1">
      <c r="A476" s="286"/>
      <c r="B476" s="5"/>
      <c r="C476" s="286"/>
      <c r="D476" s="286"/>
      <c r="E476" s="286"/>
      <c r="F476" s="286"/>
      <c r="G476" s="1320"/>
      <c r="H476" s="1022"/>
    </row>
    <row r="477" spans="1:8" ht="12.75" hidden="1">
      <c r="A477" s="286"/>
      <c r="B477" s="5"/>
      <c r="C477" s="286"/>
      <c r="D477" s="286"/>
      <c r="E477" s="286"/>
      <c r="F477" s="286"/>
      <c r="G477" s="1320"/>
      <c r="H477" s="1022"/>
    </row>
    <row r="478" spans="1:8" ht="12.75" hidden="1">
      <c r="A478" s="286"/>
      <c r="B478" s="5"/>
      <c r="C478" s="286"/>
      <c r="D478" s="286"/>
      <c r="E478" s="286"/>
      <c r="F478" s="286"/>
      <c r="G478" s="1320"/>
      <c r="H478" s="1022"/>
    </row>
    <row r="479" spans="1:8" ht="12.75" hidden="1">
      <c r="A479" s="286"/>
      <c r="B479" s="5"/>
      <c r="C479" s="286"/>
      <c r="D479" s="286"/>
      <c r="E479" s="286"/>
      <c r="F479" s="286"/>
      <c r="G479" s="1320"/>
      <c r="H479" s="1022"/>
    </row>
    <row r="480" spans="1:8" ht="12.75" hidden="1">
      <c r="A480" s="286"/>
      <c r="B480" s="5"/>
      <c r="C480" s="286"/>
      <c r="D480" s="286"/>
      <c r="E480" s="286"/>
      <c r="F480" s="286"/>
      <c r="G480" s="1320"/>
      <c r="H480" s="1022"/>
    </row>
    <row r="481" spans="1:8" ht="12.75" hidden="1">
      <c r="A481" s="286"/>
      <c r="B481" s="5"/>
      <c r="C481" s="286"/>
      <c r="D481" s="286"/>
      <c r="E481" s="286"/>
      <c r="F481" s="286"/>
      <c r="G481" s="1320"/>
      <c r="H481" s="1022"/>
    </row>
    <row r="482" spans="1:8" ht="12.75" hidden="1">
      <c r="A482" s="286"/>
      <c r="B482" s="5"/>
      <c r="C482" s="286"/>
      <c r="D482" s="286"/>
      <c r="E482" s="286"/>
      <c r="F482" s="286"/>
      <c r="G482" s="1320"/>
      <c r="H482" s="1022"/>
    </row>
    <row r="483" spans="1:8" ht="12.75" hidden="1">
      <c r="A483" s="286"/>
      <c r="B483" s="5"/>
      <c r="C483" s="286"/>
      <c r="D483" s="286"/>
      <c r="E483" s="286"/>
      <c r="F483" s="286"/>
      <c r="G483" s="1320"/>
      <c r="H483" s="1022"/>
    </row>
    <row r="484" spans="1:8" ht="12.75">
      <c r="A484" s="286"/>
      <c r="B484" s="5"/>
      <c r="C484" s="286"/>
      <c r="D484" s="286"/>
      <c r="E484" s="286"/>
      <c r="F484" s="286"/>
      <c r="G484" s="286"/>
      <c r="H484" s="1022"/>
    </row>
    <row r="485" spans="1:8" ht="12.75" hidden="1">
      <c r="A485" s="286"/>
      <c r="B485" s="5"/>
      <c r="C485" s="286"/>
      <c r="D485" s="286"/>
      <c r="E485" s="286"/>
      <c r="F485" s="286"/>
      <c r="G485" s="286"/>
      <c r="H485" s="1022"/>
    </row>
    <row r="486" spans="1:8" ht="12.75" hidden="1">
      <c r="A486" s="286"/>
      <c r="B486" s="5"/>
      <c r="C486" s="286"/>
      <c r="D486" s="286"/>
      <c r="E486" s="286"/>
      <c r="F486" s="286"/>
      <c r="G486" s="286"/>
      <c r="H486" s="1022"/>
    </row>
    <row r="487" spans="1:8" ht="12.75" hidden="1">
      <c r="A487" s="286"/>
      <c r="B487" s="5"/>
      <c r="C487" s="286"/>
      <c r="D487" s="286"/>
      <c r="E487" s="286"/>
      <c r="F487" s="286"/>
      <c r="G487" s="286"/>
      <c r="H487" s="1022"/>
    </row>
    <row r="488" spans="1:8" ht="12.75" hidden="1">
      <c r="A488" s="286"/>
      <c r="B488" s="5"/>
      <c r="C488" s="286"/>
      <c r="D488" s="286"/>
      <c r="E488" s="286"/>
      <c r="F488" s="286"/>
      <c r="G488" s="286"/>
      <c r="H488" s="1022"/>
    </row>
    <row r="489" spans="1:8" ht="12.75" hidden="1">
      <c r="A489" s="286"/>
      <c r="B489" s="5"/>
      <c r="C489" s="286"/>
      <c r="D489" s="286"/>
      <c r="E489" s="286"/>
      <c r="F489" s="286"/>
      <c r="G489" s="286"/>
      <c r="H489" s="1022"/>
    </row>
    <row r="490" spans="1:8" ht="12.75" hidden="1">
      <c r="A490" s="286"/>
      <c r="B490" s="5"/>
      <c r="C490" s="286"/>
      <c r="D490" s="286"/>
      <c r="E490" s="286"/>
      <c r="F490" s="286"/>
      <c r="G490" s="286"/>
      <c r="H490" s="1022"/>
    </row>
    <row r="491" spans="1:8" ht="12.75" hidden="1">
      <c r="A491" s="286"/>
      <c r="B491" s="5"/>
      <c r="C491" s="286"/>
      <c r="D491" s="286"/>
      <c r="E491" s="286"/>
      <c r="F491" s="286"/>
      <c r="G491" s="286"/>
      <c r="H491" s="1022"/>
    </row>
    <row r="492" spans="1:8" ht="12.75" hidden="1">
      <c r="A492" s="286"/>
      <c r="B492" s="5"/>
      <c r="C492" s="286"/>
      <c r="D492" s="286"/>
      <c r="E492" s="286"/>
      <c r="F492" s="286"/>
      <c r="G492" s="286"/>
      <c r="H492" s="1022"/>
    </row>
    <row r="493" spans="1:8" ht="12.75" hidden="1">
      <c r="A493" s="286"/>
      <c r="B493" s="5"/>
      <c r="C493" s="286"/>
      <c r="D493" s="286"/>
      <c r="E493" s="286"/>
      <c r="F493" s="286"/>
      <c r="G493" s="286"/>
      <c r="H493" s="1022"/>
    </row>
    <row r="494" spans="1:8" ht="12.75" hidden="1">
      <c r="A494" s="286"/>
      <c r="B494" s="5"/>
      <c r="C494" s="286"/>
      <c r="D494" s="286"/>
      <c r="E494" s="286"/>
      <c r="F494" s="286"/>
      <c r="G494" s="286"/>
      <c r="H494" s="1022"/>
    </row>
    <row r="495" spans="1:8" ht="12.75" hidden="1">
      <c r="A495" s="286"/>
      <c r="B495" s="5"/>
      <c r="C495" s="286"/>
      <c r="D495" s="286"/>
      <c r="E495" s="286"/>
      <c r="F495" s="286"/>
      <c r="G495" s="286"/>
      <c r="H495" s="1022"/>
    </row>
    <row r="496" spans="1:8" ht="12.75">
      <c r="A496" s="286"/>
      <c r="B496" s="5"/>
      <c r="C496" s="821" t="s">
        <v>415</v>
      </c>
      <c r="D496" s="286"/>
      <c r="E496" s="286"/>
      <c r="F496" s="286"/>
      <c r="G496" s="286"/>
      <c r="H496" s="1022"/>
    </row>
    <row r="497" spans="1:8" ht="12.75">
      <c r="A497" s="286"/>
      <c r="B497" s="5"/>
      <c r="C497" s="286"/>
      <c r="D497" s="286"/>
      <c r="E497" s="286"/>
      <c r="F497" s="286"/>
      <c r="G497" s="286"/>
      <c r="H497" s="1022"/>
    </row>
    <row r="498" spans="1:23" s="1024" customFormat="1" ht="39.75" customHeight="1">
      <c r="A498" s="822" t="s">
        <v>415</v>
      </c>
      <c r="B498" s="823"/>
      <c r="C498" s="1321"/>
      <c r="D498" s="825" t="s">
        <v>13</v>
      </c>
      <c r="E498" s="825" t="s">
        <v>14</v>
      </c>
      <c r="F498" s="826" t="s">
        <v>15</v>
      </c>
      <c r="G498" s="825" t="s">
        <v>16</v>
      </c>
      <c r="H498" s="826" t="s">
        <v>15</v>
      </c>
      <c r="I498" s="825" t="s">
        <v>17</v>
      </c>
      <c r="J498" s="827" t="s">
        <v>15</v>
      </c>
      <c r="K498" s="828" t="s">
        <v>20</v>
      </c>
      <c r="L498" s="829" t="s">
        <v>18</v>
      </c>
      <c r="M498" s="830">
        <v>2012</v>
      </c>
      <c r="N498" s="1062" t="s">
        <v>537</v>
      </c>
      <c r="O498" s="832" t="s">
        <v>20</v>
      </c>
      <c r="P498" s="832" t="s">
        <v>21</v>
      </c>
      <c r="Q498" s="21" t="s">
        <v>22</v>
      </c>
      <c r="R498" s="21" t="s">
        <v>436</v>
      </c>
      <c r="S498" s="21" t="s">
        <v>23</v>
      </c>
      <c r="T498" s="20" t="s">
        <v>24</v>
      </c>
      <c r="U498" s="19" t="s">
        <v>437</v>
      </c>
      <c r="V498" s="22" t="s">
        <v>26</v>
      </c>
      <c r="W498" s="827" t="s">
        <v>15</v>
      </c>
    </row>
    <row r="499" spans="1:23" s="289" customFormat="1" ht="11.25">
      <c r="A499" s="267" t="s">
        <v>438</v>
      </c>
      <c r="B499" s="1322"/>
      <c r="C499" s="1323"/>
      <c r="D499" s="1324"/>
      <c r="E499" s="1324"/>
      <c r="F499" s="1324"/>
      <c r="G499" s="1324"/>
      <c r="H499" s="1114"/>
      <c r="I499" s="1325"/>
      <c r="J499" s="1326"/>
      <c r="K499" s="1327">
        <f>SUM(K500)</f>
        <v>0</v>
      </c>
      <c r="L499" s="1326">
        <f>L500</f>
        <v>0</v>
      </c>
      <c r="M499" s="1326">
        <v>0</v>
      </c>
      <c r="N499" s="1324"/>
      <c r="O499" s="1328"/>
      <c r="P499" s="1328">
        <f>SUM(P500)</f>
        <v>0</v>
      </c>
      <c r="Q499" s="1329"/>
      <c r="R499" s="1329">
        <v>0</v>
      </c>
      <c r="S499" s="1329">
        <v>3200</v>
      </c>
      <c r="T499" s="1329">
        <v>3200</v>
      </c>
      <c r="U499" s="1330">
        <v>3200</v>
      </c>
      <c r="V499" s="1329">
        <v>3200</v>
      </c>
      <c r="W499" s="109">
        <f>V499/T499*100</f>
        <v>100</v>
      </c>
    </row>
    <row r="500" spans="1:23" ht="12.75">
      <c r="A500" s="34">
        <v>711</v>
      </c>
      <c r="B500" s="35" t="s">
        <v>31</v>
      </c>
      <c r="C500" s="36" t="s">
        <v>182</v>
      </c>
      <c r="D500" s="973"/>
      <c r="E500" s="173"/>
      <c r="F500" s="973"/>
      <c r="G500" s="173"/>
      <c r="H500" s="53"/>
      <c r="I500" s="1331"/>
      <c r="J500" s="61"/>
      <c r="K500" s="46"/>
      <c r="L500" s="131"/>
      <c r="M500" s="61"/>
      <c r="N500" s="1332"/>
      <c r="O500" s="978"/>
      <c r="P500" s="62">
        <v>0</v>
      </c>
      <c r="Q500" s="186"/>
      <c r="R500" s="186"/>
      <c r="S500" s="186">
        <v>3200</v>
      </c>
      <c r="T500" s="976">
        <v>3200</v>
      </c>
      <c r="U500" s="131"/>
      <c r="V500" s="186">
        <v>3200</v>
      </c>
      <c r="W500" s="61"/>
    </row>
    <row r="501" spans="1:22" ht="12.75">
      <c r="A501" s="110"/>
      <c r="B501" s="110"/>
      <c r="C501" s="110"/>
      <c r="D501" s="1242"/>
      <c r="E501" s="118"/>
      <c r="F501" s="1242"/>
      <c r="G501" s="118"/>
      <c r="H501" s="1008"/>
      <c r="I501" s="118"/>
      <c r="K501" s="72"/>
      <c r="L501" s="72"/>
      <c r="N501" s="118"/>
      <c r="O501" s="7"/>
      <c r="P501" s="73"/>
      <c r="Q501" s="957"/>
      <c r="R501" s="957"/>
      <c r="S501" s="957"/>
      <c r="T501" s="73"/>
      <c r="U501" s="72"/>
      <c r="V501" s="957"/>
    </row>
    <row r="502" spans="1:23" ht="12.75">
      <c r="A502" s="1333" t="s">
        <v>518</v>
      </c>
      <c r="B502" s="1322"/>
      <c r="C502" s="1323"/>
      <c r="D502" s="1324"/>
      <c r="E502" s="1324"/>
      <c r="F502" s="1324"/>
      <c r="G502" s="1324"/>
      <c r="H502" s="1114"/>
      <c r="I502" s="1325"/>
      <c r="J502" s="1326"/>
      <c r="K502" s="1327">
        <f>SUM(K503)</f>
        <v>0</v>
      </c>
      <c r="L502" s="1326">
        <f>L503</f>
        <v>0</v>
      </c>
      <c r="M502" s="1326">
        <v>0</v>
      </c>
      <c r="N502" s="1324"/>
      <c r="O502" s="1334">
        <f>O503</f>
        <v>6000</v>
      </c>
      <c r="P502" s="1328">
        <f>SUM(P503)</f>
        <v>6000</v>
      </c>
      <c r="Q502" s="1329">
        <f>Q503+Q504</f>
        <v>2785</v>
      </c>
      <c r="R502" s="1329">
        <v>6000</v>
      </c>
      <c r="S502" s="1329">
        <f>S503</f>
        <v>6960</v>
      </c>
      <c r="T502" s="1329">
        <v>6960</v>
      </c>
      <c r="U502" s="1335">
        <f>U503</f>
        <v>960</v>
      </c>
      <c r="V502" s="1329">
        <f>V503</f>
        <v>6960</v>
      </c>
      <c r="W502" s="109">
        <f>V502/T502*100</f>
        <v>100</v>
      </c>
    </row>
    <row r="503" spans="1:23" ht="12.75">
      <c r="A503" s="141">
        <v>713</v>
      </c>
      <c r="B503" s="97" t="s">
        <v>55</v>
      </c>
      <c r="C503" s="98" t="s">
        <v>652</v>
      </c>
      <c r="D503" s="1037"/>
      <c r="E503" s="177"/>
      <c r="F503" s="1037"/>
      <c r="G503" s="177"/>
      <c r="H503" s="856"/>
      <c r="I503" s="1336"/>
      <c r="J503" s="292"/>
      <c r="K503" s="145"/>
      <c r="L503" s="222"/>
      <c r="M503" s="292"/>
      <c r="N503" s="1337"/>
      <c r="O503" s="197">
        <v>6000</v>
      </c>
      <c r="P503" s="185">
        <v>6000</v>
      </c>
      <c r="Q503" s="187">
        <v>557</v>
      </c>
      <c r="R503" s="187">
        <v>6000</v>
      </c>
      <c r="S503" s="187">
        <v>6960</v>
      </c>
      <c r="T503" s="187">
        <v>6960</v>
      </c>
      <c r="U503" s="188">
        <v>960</v>
      </c>
      <c r="V503" s="187">
        <v>6960</v>
      </c>
      <c r="W503" s="61"/>
    </row>
    <row r="504" spans="1:23" ht="12.75">
      <c r="A504" s="1338">
        <v>713</v>
      </c>
      <c r="B504" s="1229" t="s">
        <v>55</v>
      </c>
      <c r="C504" s="1339" t="s">
        <v>653</v>
      </c>
      <c r="D504" s="1033"/>
      <c r="E504" s="1340"/>
      <c r="F504" s="1033"/>
      <c r="G504" s="1340"/>
      <c r="H504" s="1341"/>
      <c r="I504" s="1340"/>
      <c r="J504" s="932"/>
      <c r="K504" s="934"/>
      <c r="L504" s="934"/>
      <c r="M504" s="932"/>
      <c r="N504" s="1340"/>
      <c r="O504" s="933"/>
      <c r="P504" s="933"/>
      <c r="Q504" s="926">
        <v>2228</v>
      </c>
      <c r="R504" s="926"/>
      <c r="S504" s="1138">
        <v>5000</v>
      </c>
      <c r="T504" s="62"/>
      <c r="U504" s="131"/>
      <c r="V504" s="1138">
        <v>5000</v>
      </c>
      <c r="W504" s="61"/>
    </row>
    <row r="505" spans="1:22" s="33" customFormat="1" ht="12.75">
      <c r="A505" s="72"/>
      <c r="B505" s="72"/>
      <c r="C505" s="72"/>
      <c r="D505" s="73"/>
      <c r="E505" s="73"/>
      <c r="F505" s="73"/>
      <c r="G505" s="73"/>
      <c r="H505" s="78"/>
      <c r="I505" s="73"/>
      <c r="J505" s="5"/>
      <c r="K505" s="1"/>
      <c r="L505" s="72"/>
      <c r="M505" s="1"/>
      <c r="N505" s="73"/>
      <c r="O505" s="7"/>
      <c r="P505" s="7"/>
      <c r="Q505" s="79"/>
      <c r="R505" s="79"/>
      <c r="S505" s="79"/>
      <c r="T505" s="7"/>
      <c r="U505" s="1"/>
      <c r="V505" s="79"/>
    </row>
    <row r="506" spans="1:23" s="289" customFormat="1" ht="11.25">
      <c r="A506" s="267" t="s">
        <v>530</v>
      </c>
      <c r="B506" s="1322"/>
      <c r="C506" s="1323"/>
      <c r="D506" s="1324">
        <v>81684</v>
      </c>
      <c r="E506" s="1324">
        <v>54251</v>
      </c>
      <c r="F506" s="1324"/>
      <c r="G506" s="1324">
        <v>54251</v>
      </c>
      <c r="H506" s="1114"/>
      <c r="I506" s="1325">
        <f>I507+I508+I509+I510</f>
        <v>55213</v>
      </c>
      <c r="J506" s="1342"/>
      <c r="K506" s="1343">
        <f>SUM(K507,K508,K509,K510)</f>
        <v>55213</v>
      </c>
      <c r="L506" s="1344">
        <f>L507+L508+L509+L510</f>
        <v>55213</v>
      </c>
      <c r="M506" s="1344">
        <v>0</v>
      </c>
      <c r="N506" s="1345">
        <v>0</v>
      </c>
      <c r="O506" s="1328"/>
      <c r="P506" s="1328">
        <f>SUM(P507,P508,P509,P510)</f>
        <v>0</v>
      </c>
      <c r="Q506" s="1329">
        <v>0</v>
      </c>
      <c r="R506" s="1329">
        <v>0</v>
      </c>
      <c r="S506" s="1329">
        <v>0</v>
      </c>
      <c r="T506" s="1343">
        <v>0</v>
      </c>
      <c r="U506" s="1326">
        <v>0</v>
      </c>
      <c r="V506" s="1329">
        <v>0</v>
      </c>
      <c r="W506" s="109">
        <v>0</v>
      </c>
    </row>
    <row r="507" spans="1:23" s="5" customFormat="1" ht="12.75">
      <c r="A507" s="963">
        <v>717</v>
      </c>
      <c r="B507" s="964" t="s">
        <v>34</v>
      </c>
      <c r="C507" s="1346" t="s">
        <v>654</v>
      </c>
      <c r="D507" s="1347">
        <v>81684</v>
      </c>
      <c r="E507" s="1348">
        <v>54251</v>
      </c>
      <c r="F507" s="1347"/>
      <c r="G507" s="1348">
        <v>54251</v>
      </c>
      <c r="H507" s="1349"/>
      <c r="I507" s="1350">
        <v>29581</v>
      </c>
      <c r="J507" s="1133"/>
      <c r="K507" s="185">
        <v>29581</v>
      </c>
      <c r="L507" s="1346">
        <v>29581</v>
      </c>
      <c r="M507" s="1351"/>
      <c r="N507" s="1348"/>
      <c r="O507" s="1352"/>
      <c r="P507" s="1353">
        <v>0</v>
      </c>
      <c r="Q507" s="1032"/>
      <c r="R507" s="1032"/>
      <c r="S507" s="1032"/>
      <c r="T507" s="185"/>
      <c r="U507" s="222"/>
      <c r="V507" s="1032"/>
      <c r="W507" s="44"/>
    </row>
    <row r="508" spans="1:23" ht="12.75">
      <c r="A508" s="852">
        <v>716</v>
      </c>
      <c r="B508" s="920"/>
      <c r="C508" s="1354" t="s">
        <v>655</v>
      </c>
      <c r="D508" s="996"/>
      <c r="E508" s="933"/>
      <c r="F508" s="996"/>
      <c r="G508" s="933"/>
      <c r="H508" s="92"/>
      <c r="I508" s="1355">
        <v>914</v>
      </c>
      <c r="J508" s="299"/>
      <c r="K508" s="131">
        <v>914</v>
      </c>
      <c r="L508" s="1354">
        <v>914</v>
      </c>
      <c r="M508" s="301"/>
      <c r="N508" s="933"/>
      <c r="O508" s="1352"/>
      <c r="P508" s="1353">
        <v>0</v>
      </c>
      <c r="Q508" s="1032"/>
      <c r="R508" s="1032"/>
      <c r="S508" s="1032"/>
      <c r="T508" s="185"/>
      <c r="U508" s="222"/>
      <c r="V508" s="1032"/>
      <c r="W508" s="61"/>
    </row>
    <row r="509" spans="1:23" ht="12.75">
      <c r="A509" s="45">
        <v>716</v>
      </c>
      <c r="B509" s="46"/>
      <c r="C509" s="47" t="s">
        <v>655</v>
      </c>
      <c r="D509" s="276"/>
      <c r="E509" s="62"/>
      <c r="F509" s="276"/>
      <c r="G509" s="62"/>
      <c r="H509" s="92"/>
      <c r="I509" s="236">
        <v>48</v>
      </c>
      <c r="J509" s="1109"/>
      <c r="K509" s="243">
        <v>48</v>
      </c>
      <c r="L509" s="1111">
        <v>48</v>
      </c>
      <c r="M509" s="1356"/>
      <c r="N509" s="62"/>
      <c r="O509" s="1352"/>
      <c r="P509" s="185">
        <v>0</v>
      </c>
      <c r="Q509" s="187"/>
      <c r="R509" s="187"/>
      <c r="S509" s="187"/>
      <c r="T509" s="185"/>
      <c r="U509" s="222"/>
      <c r="V509" s="187"/>
      <c r="W509" s="61"/>
    </row>
    <row r="510" spans="1:23" ht="12.75">
      <c r="A510" s="45">
        <v>717</v>
      </c>
      <c r="B510" s="46"/>
      <c r="C510" s="47" t="s">
        <v>654</v>
      </c>
      <c r="D510" s="276"/>
      <c r="E510" s="62"/>
      <c r="F510" s="276"/>
      <c r="G510" s="62"/>
      <c r="H510" s="92"/>
      <c r="I510" s="236">
        <v>24670</v>
      </c>
      <c r="J510" s="299"/>
      <c r="K510" s="62">
        <v>24670</v>
      </c>
      <c r="L510" s="47">
        <v>24670</v>
      </c>
      <c r="M510" s="301"/>
      <c r="N510" s="62"/>
      <c r="O510" s="1357"/>
      <c r="P510" s="1358">
        <v>0</v>
      </c>
      <c r="Q510" s="1036"/>
      <c r="R510" s="1036"/>
      <c r="S510" s="1036"/>
      <c r="T510" s="62"/>
      <c r="U510" s="131"/>
      <c r="V510" s="1036"/>
      <c r="W510" s="61"/>
    </row>
    <row r="511" spans="1:22" ht="12.75">
      <c r="A511" s="72"/>
      <c r="B511" s="72"/>
      <c r="C511" s="72"/>
      <c r="D511" s="73"/>
      <c r="E511" s="73"/>
      <c r="F511" s="73"/>
      <c r="G511" s="73"/>
      <c r="H511" s="78"/>
      <c r="I511" s="73"/>
      <c r="J511" s="33"/>
      <c r="L511" s="72"/>
      <c r="O511" s="7"/>
      <c r="P511" s="7"/>
      <c r="Q511" s="79"/>
      <c r="R511" s="79"/>
      <c r="S511" s="79"/>
      <c r="T511" s="7"/>
      <c r="V511" s="79"/>
    </row>
    <row r="512" spans="1:23" s="289" customFormat="1" ht="11.25">
      <c r="A512" s="1630" t="s">
        <v>656</v>
      </c>
      <c r="B512" s="1630"/>
      <c r="C512" s="1630"/>
      <c r="D512" s="1324">
        <v>0</v>
      </c>
      <c r="E512" s="1324"/>
      <c r="F512" s="1324"/>
      <c r="G512" s="1324"/>
      <c r="H512" s="1114"/>
      <c r="I512" s="1325"/>
      <c r="J512" s="1342"/>
      <c r="K512" s="1326">
        <f>SUM(K513)</f>
        <v>0</v>
      </c>
      <c r="L512" s="1327">
        <f>L513</f>
        <v>0</v>
      </c>
      <c r="M512" s="1359">
        <v>0</v>
      </c>
      <c r="N512" s="1327">
        <v>0</v>
      </c>
      <c r="O512" s="1324"/>
      <c r="P512" s="1360">
        <f>SUM(P513)</f>
        <v>0</v>
      </c>
      <c r="Q512" s="1361">
        <v>0</v>
      </c>
      <c r="R512" s="1361">
        <v>0</v>
      </c>
      <c r="S512" s="1361">
        <v>0</v>
      </c>
      <c r="T512" s="1343">
        <v>0</v>
      </c>
      <c r="U512" s="1326">
        <v>0</v>
      </c>
      <c r="V512" s="1361">
        <v>0</v>
      </c>
      <c r="W512" s="109">
        <v>0</v>
      </c>
    </row>
    <row r="513" spans="1:23" s="33" customFormat="1" ht="12.75">
      <c r="A513" s="45">
        <v>717</v>
      </c>
      <c r="B513" s="46" t="s">
        <v>34</v>
      </c>
      <c r="C513" s="47" t="s">
        <v>657</v>
      </c>
      <c r="D513" s="276">
        <v>0</v>
      </c>
      <c r="E513" s="62"/>
      <c r="F513" s="276"/>
      <c r="G513" s="62"/>
      <c r="H513" s="92"/>
      <c r="I513" s="236"/>
      <c r="J513" s="299"/>
      <c r="K513" s="253">
        <v>0</v>
      </c>
      <c r="L513" s="46"/>
      <c r="M513" s="61"/>
      <c r="N513" s="46">
        <v>0</v>
      </c>
      <c r="O513" s="978"/>
      <c r="P513" s="1234">
        <v>0</v>
      </c>
      <c r="Q513" s="1362"/>
      <c r="R513" s="1362"/>
      <c r="S513" s="1362"/>
      <c r="T513" s="62"/>
      <c r="U513" s="131"/>
      <c r="V513" s="1362"/>
      <c r="W513" s="169"/>
    </row>
    <row r="514" spans="1:22" ht="12.75">
      <c r="A514" s="72"/>
      <c r="B514" s="72"/>
      <c r="C514" s="72"/>
      <c r="D514" s="1363"/>
      <c r="E514" s="73"/>
      <c r="F514" s="1363"/>
      <c r="G514" s="73"/>
      <c r="H514" s="78"/>
      <c r="I514" s="73"/>
      <c r="L514" s="72"/>
      <c r="O514" s="7"/>
      <c r="P514" s="7"/>
      <c r="Q514" s="79"/>
      <c r="R514" s="79"/>
      <c r="S514" s="79"/>
      <c r="T514" s="7"/>
      <c r="V514" s="79"/>
    </row>
    <row r="515" spans="1:23" s="289" customFormat="1" ht="11.25">
      <c r="A515" s="1116" t="s">
        <v>658</v>
      </c>
      <c r="B515" s="1364"/>
      <c r="C515" s="1365"/>
      <c r="D515" s="1366"/>
      <c r="E515" s="1324"/>
      <c r="F515" s="1366"/>
      <c r="G515" s="1324"/>
      <c r="H515" s="1367"/>
      <c r="I515" s="1324"/>
      <c r="J515" s="1359"/>
      <c r="K515" s="1359">
        <v>0</v>
      </c>
      <c r="L515" s="1359">
        <v>0</v>
      </c>
      <c r="M515" s="1359">
        <v>0</v>
      </c>
      <c r="N515" s="1359">
        <v>0</v>
      </c>
      <c r="O515" s="1324"/>
      <c r="P515" s="1324">
        <v>0</v>
      </c>
      <c r="Q515" s="1368">
        <v>0</v>
      </c>
      <c r="R515" s="1368">
        <v>0</v>
      </c>
      <c r="S515" s="1368">
        <v>0</v>
      </c>
      <c r="T515" s="1324">
        <v>0</v>
      </c>
      <c r="U515" s="1359">
        <v>0</v>
      </c>
      <c r="V515" s="1369">
        <v>0</v>
      </c>
      <c r="W515" s="109">
        <v>0</v>
      </c>
    </row>
    <row r="516" spans="1:22" ht="12.75">
      <c r="A516" s="72"/>
      <c r="B516" s="72"/>
      <c r="C516" s="72"/>
      <c r="D516" s="73"/>
      <c r="E516" s="73"/>
      <c r="F516" s="73"/>
      <c r="G516" s="73"/>
      <c r="H516" s="78"/>
      <c r="I516" s="73"/>
      <c r="J516" s="33"/>
      <c r="L516" s="72"/>
      <c r="O516" s="7"/>
      <c r="P516" s="7"/>
      <c r="Q516" s="79"/>
      <c r="R516" s="79"/>
      <c r="S516" s="79"/>
      <c r="T516" s="7"/>
      <c r="V516" s="79"/>
    </row>
    <row r="517" spans="1:23" s="289" customFormat="1" ht="11.25">
      <c r="A517" s="267" t="s">
        <v>659</v>
      </c>
      <c r="B517" s="1322"/>
      <c r="C517" s="1323"/>
      <c r="D517" s="1324">
        <f>D519</f>
        <v>212500</v>
      </c>
      <c r="E517" s="1324">
        <v>188795</v>
      </c>
      <c r="F517" s="1324"/>
      <c r="G517" s="1324">
        <v>188795</v>
      </c>
      <c r="H517" s="1114"/>
      <c r="I517" s="1325">
        <f>I519+I520</f>
        <v>188796</v>
      </c>
      <c r="J517" s="1342"/>
      <c r="K517" s="1370">
        <f>SUM(K518,K519,K520)</f>
        <v>188796</v>
      </c>
      <c r="L517" s="1326">
        <f>L519+L520</f>
        <v>188796</v>
      </c>
      <c r="M517" s="1326">
        <v>0</v>
      </c>
      <c r="N517" s="1344">
        <v>0</v>
      </c>
      <c r="O517" s="1328"/>
      <c r="P517" s="1328">
        <f>SUM(P518,P519,P520)</f>
        <v>0</v>
      </c>
      <c r="Q517" s="1329">
        <v>0</v>
      </c>
      <c r="R517" s="1329">
        <v>0</v>
      </c>
      <c r="S517" s="1329">
        <v>0</v>
      </c>
      <c r="T517" s="1328">
        <v>0</v>
      </c>
      <c r="U517" s="1344">
        <v>0</v>
      </c>
      <c r="V517" s="1361">
        <v>0</v>
      </c>
      <c r="W517" s="109">
        <v>0</v>
      </c>
    </row>
    <row r="518" spans="1:23" s="33" customFormat="1" ht="12.75">
      <c r="A518" s="1102">
        <v>716</v>
      </c>
      <c r="B518" s="1371"/>
      <c r="C518" s="47" t="s">
        <v>655</v>
      </c>
      <c r="D518" s="1372"/>
      <c r="E518" s="62"/>
      <c r="F518" s="1372"/>
      <c r="G518" s="62"/>
      <c r="H518" s="1373"/>
      <c r="I518" s="236"/>
      <c r="J518" s="1133"/>
      <c r="K518" s="96"/>
      <c r="L518" s="222"/>
      <c r="M518" s="292"/>
      <c r="N518" s="222">
        <v>0</v>
      </c>
      <c r="O518" s="293"/>
      <c r="P518" s="185">
        <v>0</v>
      </c>
      <c r="Q518" s="187"/>
      <c r="R518" s="187"/>
      <c r="S518" s="187"/>
      <c r="T518" s="62"/>
      <c r="U518" s="131"/>
      <c r="V518" s="189"/>
      <c r="W518" s="169"/>
    </row>
    <row r="519" spans="1:23" ht="12.75">
      <c r="A519" s="963">
        <v>717</v>
      </c>
      <c r="B519" s="964" t="s">
        <v>34</v>
      </c>
      <c r="C519" s="1346" t="s">
        <v>660</v>
      </c>
      <c r="D519" s="1347">
        <v>212500</v>
      </c>
      <c r="E519" s="1348">
        <v>188795</v>
      </c>
      <c r="F519" s="1347"/>
      <c r="G519" s="1348">
        <v>188795</v>
      </c>
      <c r="H519" s="1038"/>
      <c r="I519" s="1350">
        <v>179356</v>
      </c>
      <c r="J519" s="1102"/>
      <c r="K519" s="1374">
        <v>179356</v>
      </c>
      <c r="L519" s="934">
        <v>179356</v>
      </c>
      <c r="M519" s="61"/>
      <c r="N519" s="131">
        <v>0</v>
      </c>
      <c r="O519" s="978"/>
      <c r="P519" s="62">
        <v>0</v>
      </c>
      <c r="Q519" s="186"/>
      <c r="R519" s="186"/>
      <c r="S519" s="186"/>
      <c r="T519" s="62"/>
      <c r="U519" s="131"/>
      <c r="V519" s="233"/>
      <c r="W519" s="61"/>
    </row>
    <row r="520" spans="1:23" ht="12.75">
      <c r="A520" s="45">
        <v>717</v>
      </c>
      <c r="B520" s="46"/>
      <c r="C520" s="47" t="s">
        <v>660</v>
      </c>
      <c r="D520" s="276"/>
      <c r="E520" s="62"/>
      <c r="F520" s="276"/>
      <c r="G520" s="62"/>
      <c r="H520" s="92"/>
      <c r="I520" s="236">
        <v>9440</v>
      </c>
      <c r="J520" s="1375"/>
      <c r="K520" s="1108">
        <v>9440</v>
      </c>
      <c r="L520" s="239">
        <v>9440</v>
      </c>
      <c r="M520" s="94"/>
      <c r="N520" s="239">
        <v>0</v>
      </c>
      <c r="O520" s="1376"/>
      <c r="P520" s="255">
        <v>0</v>
      </c>
      <c r="Q520" s="241"/>
      <c r="R520" s="241"/>
      <c r="S520" s="241"/>
      <c r="T520" s="62"/>
      <c r="U520" s="131"/>
      <c r="V520" s="307"/>
      <c r="W520" s="61"/>
    </row>
    <row r="521" spans="1:22" s="33" customFormat="1" ht="12.75">
      <c r="A521" s="72"/>
      <c r="B521" s="72"/>
      <c r="C521" s="72"/>
      <c r="D521" s="1363"/>
      <c r="E521" s="73"/>
      <c r="F521" s="1363"/>
      <c r="G521" s="73"/>
      <c r="H521" s="78"/>
      <c r="I521" s="73"/>
      <c r="K521" s="1"/>
      <c r="L521" s="72"/>
      <c r="M521" s="1"/>
      <c r="N521" s="1"/>
      <c r="O521" s="7"/>
      <c r="P521" s="7"/>
      <c r="Q521" s="79"/>
      <c r="R521" s="79"/>
      <c r="S521" s="79"/>
      <c r="T521" s="7"/>
      <c r="U521" s="1"/>
      <c r="V521" s="79"/>
    </row>
    <row r="522" spans="1:23" s="1378" customFormat="1" ht="11.25">
      <c r="A522" s="267" t="s">
        <v>562</v>
      </c>
      <c r="B522" s="1322"/>
      <c r="C522" s="1323"/>
      <c r="D522" s="266">
        <v>0</v>
      </c>
      <c r="E522" s="1324"/>
      <c r="F522" s="266"/>
      <c r="G522" s="1324"/>
      <c r="H522" s="1114"/>
      <c r="I522" s="1325">
        <f>I523</f>
        <v>2400</v>
      </c>
      <c r="J522" s="1359"/>
      <c r="K522" s="1324">
        <f>SUM(K523)</f>
        <v>2400</v>
      </c>
      <c r="L522" s="1359">
        <f>L523</f>
        <v>2400</v>
      </c>
      <c r="M522" s="1359">
        <v>0</v>
      </c>
      <c r="N522" s="1359">
        <v>0</v>
      </c>
      <c r="O522" s="1324"/>
      <c r="P522" s="1324">
        <f>SUM(P523)</f>
        <v>0</v>
      </c>
      <c r="Q522" s="1368">
        <v>0</v>
      </c>
      <c r="R522" s="1368">
        <v>0</v>
      </c>
      <c r="S522" s="1368">
        <v>0</v>
      </c>
      <c r="T522" s="1324">
        <v>0</v>
      </c>
      <c r="U522" s="1359">
        <v>0</v>
      </c>
      <c r="V522" s="1369">
        <v>0</v>
      </c>
      <c r="W522" s="1377">
        <v>0</v>
      </c>
    </row>
    <row r="523" spans="1:23" s="33" customFormat="1" ht="12.75">
      <c r="A523" s="45">
        <v>716</v>
      </c>
      <c r="B523" s="46"/>
      <c r="C523" s="47" t="s">
        <v>655</v>
      </c>
      <c r="D523" s="276">
        <v>0</v>
      </c>
      <c r="E523" s="276"/>
      <c r="F523" s="276"/>
      <c r="G523" s="276"/>
      <c r="H523" s="92"/>
      <c r="I523" s="1095">
        <v>2400</v>
      </c>
      <c r="J523" s="94"/>
      <c r="K523" s="1236">
        <v>2400</v>
      </c>
      <c r="L523" s="1096">
        <v>2400</v>
      </c>
      <c r="M523" s="94"/>
      <c r="N523" s="239">
        <v>0</v>
      </c>
      <c r="O523" s="1376"/>
      <c r="P523" s="255">
        <v>0</v>
      </c>
      <c r="Q523" s="241"/>
      <c r="R523" s="241"/>
      <c r="S523" s="241"/>
      <c r="T523" s="62"/>
      <c r="U523" s="131"/>
      <c r="V523" s="307"/>
      <c r="W523" s="169"/>
    </row>
    <row r="524" spans="1:23" s="289" customFormat="1" ht="11.25">
      <c r="A524" s="267" t="s">
        <v>661</v>
      </c>
      <c r="B524" s="1322"/>
      <c r="C524" s="1323"/>
      <c r="D524" s="1324">
        <f>D525+D526+D527+D528+D529+D531</f>
        <v>475000</v>
      </c>
      <c r="E524" s="1324">
        <v>4190</v>
      </c>
      <c r="F524" s="1324"/>
      <c r="G524" s="1324">
        <v>5342</v>
      </c>
      <c r="H524" s="1114"/>
      <c r="I524" s="1325">
        <f>I525+I526+I527+I528+I529+I531</f>
        <v>5342</v>
      </c>
      <c r="J524" s="1326"/>
      <c r="K524" s="1343">
        <f>SUM(K525,K526,K527,K528,K529,K531)</f>
        <v>482342</v>
      </c>
      <c r="L524" s="1343">
        <f>L525+L526+L527+L528+L529+L530+L531</f>
        <v>518457</v>
      </c>
      <c r="M524" s="1343">
        <f>SUM(M525,M526,M527,M528,M529,M531)</f>
        <v>282858</v>
      </c>
      <c r="N524" s="1379">
        <f>N525+N526+N527+N528+N529+N530+N531</f>
        <v>142216.66</v>
      </c>
      <c r="O524" s="1380">
        <v>64020</v>
      </c>
      <c r="P524" s="1343">
        <f>SUM(P525,P526,P527,P528,P529,P530,P531)</f>
        <v>218838</v>
      </c>
      <c r="Q524" s="1381">
        <f>Q526+Q529+Q530</f>
        <v>279933.97</v>
      </c>
      <c r="R524" s="1381">
        <f>R526+R528+R529+R531</f>
        <v>218838</v>
      </c>
      <c r="S524" s="1381">
        <f>S526+S529</f>
        <v>145954.05</v>
      </c>
      <c r="T524" s="1381">
        <f>SUM(T525,T526,T527,T528,T529,T531)</f>
        <v>147454.05</v>
      </c>
      <c r="U524" s="1382">
        <f>U528+U529+U531</f>
        <v>71383.95</v>
      </c>
      <c r="V524" s="1383">
        <f>V526+V529</f>
        <v>143716.08</v>
      </c>
      <c r="W524" s="1006">
        <f>V524/T524*100</f>
        <v>97.46499333182099</v>
      </c>
    </row>
    <row r="525" spans="1:23" s="33" customFormat="1" ht="12.75">
      <c r="A525" s="45">
        <v>717</v>
      </c>
      <c r="B525" s="46" t="s">
        <v>31</v>
      </c>
      <c r="C525" s="47" t="s">
        <v>662</v>
      </c>
      <c r="D525" s="276"/>
      <c r="E525" s="62"/>
      <c r="F525" s="276"/>
      <c r="G525" s="62"/>
      <c r="H525" s="92"/>
      <c r="I525" s="236"/>
      <c r="J525" s="292"/>
      <c r="K525" s="222"/>
      <c r="L525" s="222">
        <v>0</v>
      </c>
      <c r="M525" s="222">
        <v>0</v>
      </c>
      <c r="N525" s="236"/>
      <c r="O525" s="185"/>
      <c r="P525" s="185">
        <v>0</v>
      </c>
      <c r="Q525" s="187"/>
      <c r="R525" s="187"/>
      <c r="S525" s="187"/>
      <c r="T525" s="186">
        <v>0</v>
      </c>
      <c r="U525" s="131"/>
      <c r="V525" s="189"/>
      <c r="W525" s="169"/>
    </row>
    <row r="526" spans="1:23" ht="12.75">
      <c r="A526" s="45">
        <v>716</v>
      </c>
      <c r="B526" s="46"/>
      <c r="C526" s="47" t="s">
        <v>301</v>
      </c>
      <c r="D526" s="276"/>
      <c r="E526" s="62">
        <v>4190</v>
      </c>
      <c r="F526" s="276"/>
      <c r="G526" s="62">
        <v>5342</v>
      </c>
      <c r="H526" s="92"/>
      <c r="I526" s="236">
        <v>5342</v>
      </c>
      <c r="J526" s="169"/>
      <c r="K526" s="62">
        <v>5342</v>
      </c>
      <c r="L526" s="131">
        <v>2892</v>
      </c>
      <c r="M526" s="131">
        <v>4500</v>
      </c>
      <c r="N526" s="236"/>
      <c r="O526" s="62"/>
      <c r="P526" s="62">
        <v>4500</v>
      </c>
      <c r="Q526" s="186">
        <v>3000</v>
      </c>
      <c r="R526" s="186">
        <v>4500</v>
      </c>
      <c r="S526" s="186">
        <v>3000</v>
      </c>
      <c r="T526" s="186">
        <v>4500</v>
      </c>
      <c r="U526" s="131"/>
      <c r="V526" s="186">
        <v>3600</v>
      </c>
      <c r="W526" s="94"/>
    </row>
    <row r="527" spans="1:23" ht="12.75">
      <c r="A527" s="45">
        <v>717</v>
      </c>
      <c r="B527" s="46" t="s">
        <v>31</v>
      </c>
      <c r="C527" s="47" t="s">
        <v>604</v>
      </c>
      <c r="D527" s="276">
        <v>0</v>
      </c>
      <c r="E527" s="62"/>
      <c r="F527" s="276"/>
      <c r="G527" s="62"/>
      <c r="H527" s="92"/>
      <c r="I527" s="236"/>
      <c r="J527" s="1384"/>
      <c r="K527" s="239">
        <v>0</v>
      </c>
      <c r="L527" s="239">
        <v>0</v>
      </c>
      <c r="M527" s="239">
        <v>0</v>
      </c>
      <c r="N527" s="236"/>
      <c r="O527" s="255"/>
      <c r="P527" s="255">
        <v>0</v>
      </c>
      <c r="Q527" s="241"/>
      <c r="R527" s="241"/>
      <c r="S527" s="241"/>
      <c r="T527" s="186">
        <v>0</v>
      </c>
      <c r="U527" s="131"/>
      <c r="V527" s="241"/>
      <c r="W527" s="61"/>
    </row>
    <row r="528" spans="1:23" s="33" customFormat="1" ht="12.75">
      <c r="A528" s="45">
        <v>717</v>
      </c>
      <c r="B528" s="46" t="s">
        <v>31</v>
      </c>
      <c r="C528" s="47" t="s">
        <v>663</v>
      </c>
      <c r="D528" s="276">
        <v>65000</v>
      </c>
      <c r="E528" s="62"/>
      <c r="F528" s="276"/>
      <c r="G528" s="62"/>
      <c r="H528" s="92"/>
      <c r="I528" s="236"/>
      <c r="J528" s="1385"/>
      <c r="K528" s="243">
        <v>0</v>
      </c>
      <c r="L528" s="261">
        <v>0</v>
      </c>
      <c r="M528" s="261">
        <v>50000</v>
      </c>
      <c r="N528" s="236"/>
      <c r="O528" s="261"/>
      <c r="P528" s="261">
        <v>50000</v>
      </c>
      <c r="Q528" s="237"/>
      <c r="R528" s="237">
        <v>50000</v>
      </c>
      <c r="S528" s="237"/>
      <c r="T528" s="186">
        <v>0</v>
      </c>
      <c r="U528" s="1386">
        <v>50000</v>
      </c>
      <c r="V528" s="237"/>
      <c r="W528" s="169"/>
    </row>
    <row r="529" spans="1:23" s="33" customFormat="1" ht="12.75">
      <c r="A529" s="45">
        <v>717</v>
      </c>
      <c r="B529" s="46" t="s">
        <v>31</v>
      </c>
      <c r="C529" s="47" t="s">
        <v>664</v>
      </c>
      <c r="D529" s="276">
        <v>400000</v>
      </c>
      <c r="E529" s="62"/>
      <c r="F529" s="276"/>
      <c r="G529" s="62"/>
      <c r="H529" s="92"/>
      <c r="I529" s="236"/>
      <c r="J529" s="131"/>
      <c r="K529" s="62">
        <v>477000</v>
      </c>
      <c r="L529" s="131">
        <v>29859</v>
      </c>
      <c r="M529" s="131">
        <v>218000</v>
      </c>
      <c r="N529" s="236">
        <v>8236.74</v>
      </c>
      <c r="O529" s="240">
        <v>64020</v>
      </c>
      <c r="P529" s="62">
        <v>153980</v>
      </c>
      <c r="Q529" s="186">
        <v>142954.05</v>
      </c>
      <c r="R529" s="186">
        <v>153980</v>
      </c>
      <c r="S529" s="186">
        <v>142954.05</v>
      </c>
      <c r="T529" s="186">
        <v>142954.05</v>
      </c>
      <c r="U529" s="977">
        <v>11025.95</v>
      </c>
      <c r="V529" s="186">
        <v>140116.08</v>
      </c>
      <c r="W529" s="169"/>
    </row>
    <row r="530" spans="1:23" s="33" customFormat="1" ht="12.75">
      <c r="A530" s="1387">
        <v>717</v>
      </c>
      <c r="B530" s="1388" t="s">
        <v>31</v>
      </c>
      <c r="C530" s="1389" t="s">
        <v>665</v>
      </c>
      <c r="D530" s="958"/>
      <c r="E530" s="1390"/>
      <c r="F530" s="958"/>
      <c r="G530" s="1390"/>
      <c r="H530" s="1391"/>
      <c r="I530" s="1392"/>
      <c r="J530" s="1393"/>
      <c r="K530" s="1394"/>
      <c r="L530" s="1393">
        <v>485706</v>
      </c>
      <c r="M530" s="1140"/>
      <c r="N530" s="1392">
        <v>133979.92</v>
      </c>
      <c r="O530" s="1395"/>
      <c r="P530" s="1394"/>
      <c r="Q530" s="1396">
        <v>133979.92</v>
      </c>
      <c r="R530" s="1396"/>
      <c r="S530" s="1396">
        <v>133979.92</v>
      </c>
      <c r="T530" s="1397"/>
      <c r="U530" s="1134"/>
      <c r="V530" s="1396">
        <v>131188.9</v>
      </c>
      <c r="W530" s="169"/>
    </row>
    <row r="531" spans="1:23" s="33" customFormat="1" ht="12.75">
      <c r="A531" s="45">
        <v>717</v>
      </c>
      <c r="B531" s="46" t="s">
        <v>31</v>
      </c>
      <c r="C531" s="47" t="s">
        <v>666</v>
      </c>
      <c r="D531" s="276">
        <v>10000</v>
      </c>
      <c r="E531" s="62"/>
      <c r="F531" s="276"/>
      <c r="G531" s="62"/>
      <c r="H531" s="92"/>
      <c r="I531" s="236"/>
      <c r="J531" s="239"/>
      <c r="K531" s="239">
        <v>0</v>
      </c>
      <c r="L531" s="239">
        <v>0</v>
      </c>
      <c r="M531" s="239">
        <v>10358</v>
      </c>
      <c r="N531" s="236"/>
      <c r="O531" s="255"/>
      <c r="P531" s="255">
        <v>10358</v>
      </c>
      <c r="Q531" s="241"/>
      <c r="R531" s="241">
        <v>10358</v>
      </c>
      <c r="S531" s="241"/>
      <c r="T531" s="186">
        <v>0</v>
      </c>
      <c r="U531" s="1386">
        <v>10358</v>
      </c>
      <c r="V531" s="241"/>
      <c r="W531" s="169"/>
    </row>
    <row r="532" spans="4:22" s="72" customFormat="1" ht="12.75">
      <c r="D532" s="73"/>
      <c r="E532" s="73"/>
      <c r="F532" s="73"/>
      <c r="G532" s="73"/>
      <c r="H532" s="78"/>
      <c r="I532" s="73"/>
      <c r="K532" s="1"/>
      <c r="M532" s="1"/>
      <c r="N532" s="73"/>
      <c r="O532" s="7"/>
      <c r="P532" s="7"/>
      <c r="Q532" s="79"/>
      <c r="R532" s="79"/>
      <c r="S532" s="79"/>
      <c r="T532" s="7"/>
      <c r="U532" s="1"/>
      <c r="V532" s="79"/>
    </row>
    <row r="533" spans="1:23" s="289" customFormat="1" ht="11.25">
      <c r="A533" s="267" t="s">
        <v>581</v>
      </c>
      <c r="B533" s="1322"/>
      <c r="C533" s="1323"/>
      <c r="D533" s="1324">
        <v>0</v>
      </c>
      <c r="E533" s="1324"/>
      <c r="F533" s="1324"/>
      <c r="G533" s="1324"/>
      <c r="H533" s="1114"/>
      <c r="I533" s="1325">
        <v>0</v>
      </c>
      <c r="J533" s="1326"/>
      <c r="K533" s="1326">
        <f>SUM(K534)</f>
        <v>0</v>
      </c>
      <c r="L533" s="1327">
        <v>0</v>
      </c>
      <c r="M533" s="1327">
        <v>0</v>
      </c>
      <c r="N533" s="1379">
        <v>0</v>
      </c>
      <c r="O533" s="1324"/>
      <c r="P533" s="1360">
        <f>SUM(P534)</f>
        <v>0</v>
      </c>
      <c r="Q533" s="1361">
        <v>0</v>
      </c>
      <c r="R533" s="1361">
        <v>0</v>
      </c>
      <c r="S533" s="1361">
        <v>0</v>
      </c>
      <c r="T533" s="1381">
        <v>0</v>
      </c>
      <c r="U533" s="1326">
        <v>0</v>
      </c>
      <c r="V533" s="1361">
        <v>0</v>
      </c>
      <c r="W533" s="109">
        <v>0</v>
      </c>
    </row>
    <row r="534" spans="1:23" ht="12.75">
      <c r="A534" s="45">
        <v>717</v>
      </c>
      <c r="B534" s="46" t="s">
        <v>31</v>
      </c>
      <c r="C534" s="47" t="s">
        <v>667</v>
      </c>
      <c r="D534" s="276">
        <v>0</v>
      </c>
      <c r="E534" s="276"/>
      <c r="F534" s="276"/>
      <c r="G534" s="276"/>
      <c r="H534" s="92"/>
      <c r="I534" s="1095"/>
      <c r="J534" s="169"/>
      <c r="K534" s="131">
        <v>0</v>
      </c>
      <c r="L534" s="131"/>
      <c r="M534" s="300"/>
      <c r="N534" s="1095"/>
      <c r="O534" s="978"/>
      <c r="P534" s="1234">
        <v>0</v>
      </c>
      <c r="Q534" s="1362"/>
      <c r="R534" s="1362"/>
      <c r="S534" s="1362"/>
      <c r="T534" s="62"/>
      <c r="U534" s="131"/>
      <c r="V534" s="1362"/>
      <c r="W534" s="61"/>
    </row>
    <row r="535" spans="1:23" ht="12.75">
      <c r="A535" s="72"/>
      <c r="B535" s="72"/>
      <c r="C535" s="72"/>
      <c r="D535" s="1363"/>
      <c r="E535" s="1363"/>
      <c r="F535" s="1363"/>
      <c r="G535" s="1363"/>
      <c r="H535" s="78"/>
      <c r="I535" s="1363"/>
      <c r="J535" s="33"/>
      <c r="K535" s="72"/>
      <c r="L535" s="72"/>
      <c r="N535" s="1363"/>
      <c r="O535" s="7"/>
      <c r="P535" s="7"/>
      <c r="Q535" s="79"/>
      <c r="R535" s="79"/>
      <c r="S535" s="79"/>
      <c r="T535" s="7"/>
      <c r="V535" s="79"/>
      <c r="W535" s="61"/>
    </row>
    <row r="536" spans="1:23" s="289" customFormat="1" ht="11.25">
      <c r="A536" s="1398" t="s">
        <v>603</v>
      </c>
      <c r="B536" s="1399"/>
      <c r="C536" s="1400"/>
      <c r="D536" s="1401">
        <v>0</v>
      </c>
      <c r="E536" s="1401">
        <f aca="true" t="shared" si="3" ref="E536:J536">E538+E540</f>
        <v>0</v>
      </c>
      <c r="F536" s="1401">
        <f t="shared" si="3"/>
        <v>0</v>
      </c>
      <c r="G536" s="1401">
        <f t="shared" si="3"/>
        <v>0</v>
      </c>
      <c r="H536" s="1401">
        <f t="shared" si="3"/>
        <v>0</v>
      </c>
      <c r="I536" s="1401">
        <f t="shared" si="3"/>
        <v>0</v>
      </c>
      <c r="J536" s="1401">
        <f t="shared" si="3"/>
        <v>0</v>
      </c>
      <c r="K536" s="1401">
        <v>0</v>
      </c>
      <c r="L536" s="1401">
        <f>L537</f>
        <v>3600</v>
      </c>
      <c r="M536" s="1402"/>
      <c r="N536" s="1403">
        <v>0</v>
      </c>
      <c r="O536" s="1370"/>
      <c r="P536" s="1370">
        <f>SUM(P537)</f>
        <v>0</v>
      </c>
      <c r="Q536" s="1383">
        <v>0</v>
      </c>
      <c r="R536" s="1383">
        <v>0</v>
      </c>
      <c r="S536" s="1383">
        <v>0</v>
      </c>
      <c r="T536" s="1383">
        <v>0</v>
      </c>
      <c r="U536" s="1326">
        <v>0</v>
      </c>
      <c r="V536" s="1383">
        <v>0</v>
      </c>
      <c r="W536" s="109">
        <v>0</v>
      </c>
    </row>
    <row r="537" spans="1:23" ht="12.75">
      <c r="A537" s="45">
        <v>716</v>
      </c>
      <c r="B537" s="46"/>
      <c r="C537" s="46" t="s">
        <v>301</v>
      </c>
      <c r="D537" s="276"/>
      <c r="E537" s="276"/>
      <c r="F537" s="276"/>
      <c r="G537" s="276"/>
      <c r="H537" s="92"/>
      <c r="I537" s="276"/>
      <c r="J537" s="169"/>
      <c r="K537" s="131"/>
      <c r="L537" s="131">
        <v>3600</v>
      </c>
      <c r="M537" s="131"/>
      <c r="N537" s="276"/>
      <c r="O537" s="1234"/>
      <c r="P537" s="62">
        <v>0</v>
      </c>
      <c r="Q537" s="1362"/>
      <c r="R537" s="1362"/>
      <c r="S537" s="1362"/>
      <c r="T537" s="1234"/>
      <c r="U537" s="61"/>
      <c r="V537" s="1362"/>
      <c r="W537" s="61"/>
    </row>
    <row r="538" spans="1:22" ht="12.75">
      <c r="A538" s="72"/>
      <c r="B538" s="72"/>
      <c r="C538" s="72"/>
      <c r="D538" s="1363"/>
      <c r="E538" s="1363"/>
      <c r="F538" s="1363"/>
      <c r="G538" s="1363"/>
      <c r="H538" s="78"/>
      <c r="I538" s="1363"/>
      <c r="J538" s="33"/>
      <c r="L538" s="72"/>
      <c r="N538" s="1363"/>
      <c r="O538" s="7"/>
      <c r="P538" s="7"/>
      <c r="Q538" s="79"/>
      <c r="R538" s="79"/>
      <c r="S538" s="79"/>
      <c r="T538" s="7"/>
      <c r="V538" s="79"/>
    </row>
    <row r="539" spans="1:22" ht="12.75" hidden="1">
      <c r="A539" s="72"/>
      <c r="B539" s="72"/>
      <c r="C539" s="72"/>
      <c r="D539" s="1363"/>
      <c r="E539" s="1363"/>
      <c r="F539" s="1363"/>
      <c r="G539" s="1363"/>
      <c r="H539" s="78"/>
      <c r="I539" s="1363"/>
      <c r="J539" s="33"/>
      <c r="L539" s="72"/>
      <c r="N539" s="1363"/>
      <c r="O539" s="7"/>
      <c r="P539" s="7"/>
      <c r="Q539" s="79"/>
      <c r="R539" s="79"/>
      <c r="S539" s="79"/>
      <c r="T539" s="7"/>
      <c r="V539" s="79"/>
    </row>
    <row r="540" spans="1:23" s="1378" customFormat="1" ht="11.25">
      <c r="A540" s="267" t="s">
        <v>611</v>
      </c>
      <c r="B540" s="1322"/>
      <c r="C540" s="1323"/>
      <c r="D540" s="1404">
        <f aca="true" t="shared" si="4" ref="D540:M540">D542+D543</f>
        <v>506006</v>
      </c>
      <c r="E540" s="1404">
        <f t="shared" si="4"/>
        <v>0</v>
      </c>
      <c r="F540" s="1404">
        <f t="shared" si="4"/>
        <v>0</v>
      </c>
      <c r="G540" s="1404">
        <f t="shared" si="4"/>
        <v>0</v>
      </c>
      <c r="H540" s="1404">
        <f t="shared" si="4"/>
        <v>0</v>
      </c>
      <c r="I540" s="1404">
        <f t="shared" si="4"/>
        <v>0</v>
      </c>
      <c r="J540" s="1404">
        <f t="shared" si="4"/>
        <v>0</v>
      </c>
      <c r="K540" s="1404">
        <f t="shared" si="4"/>
        <v>0</v>
      </c>
      <c r="L540" s="1404">
        <f t="shared" si="4"/>
        <v>0</v>
      </c>
      <c r="M540" s="1404">
        <f t="shared" si="4"/>
        <v>438000</v>
      </c>
      <c r="N540" s="1345">
        <f>N541+N542+N543</f>
        <v>140503.28</v>
      </c>
      <c r="O540" s="1405">
        <v>10000</v>
      </c>
      <c r="P540" s="1324">
        <f>SUM(P541,P542,P543)</f>
        <v>448000</v>
      </c>
      <c r="Q540" s="1368">
        <f>Q541+Q543</f>
        <v>240314.47</v>
      </c>
      <c r="R540" s="1368">
        <v>448000</v>
      </c>
      <c r="S540" s="1368">
        <f>S541+S542+S543</f>
        <v>349355.99</v>
      </c>
      <c r="T540" s="1368">
        <f>T542+T543</f>
        <v>436436</v>
      </c>
      <c r="U540" s="1406">
        <f>U543</f>
        <v>11564</v>
      </c>
      <c r="V540" s="1369">
        <f>V541+V542+V543</f>
        <v>436435.89</v>
      </c>
      <c r="W540" s="1407">
        <f>V540/T540*100</f>
        <v>99.99997479584636</v>
      </c>
    </row>
    <row r="541" spans="1:23" s="72" customFormat="1" ht="12.75">
      <c r="A541" s="45">
        <v>716</v>
      </c>
      <c r="B541" s="1371"/>
      <c r="C541" s="47" t="s">
        <v>655</v>
      </c>
      <c r="D541" s="1408"/>
      <c r="E541" s="1409"/>
      <c r="F541" s="1408"/>
      <c r="G541" s="1409"/>
      <c r="H541" s="1373"/>
      <c r="I541" s="1410"/>
      <c r="J541" s="61"/>
      <c r="K541" s="131"/>
      <c r="L541" s="131"/>
      <c r="M541" s="131"/>
      <c r="N541" s="1095"/>
      <c r="O541" s="62"/>
      <c r="P541" s="62"/>
      <c r="Q541" s="186">
        <v>204</v>
      </c>
      <c r="R541" s="186"/>
      <c r="S541" s="186"/>
      <c r="T541" s="186"/>
      <c r="U541" s="131"/>
      <c r="V541" s="233"/>
      <c r="W541" s="131"/>
    </row>
    <row r="542" spans="1:23" ht="12.75">
      <c r="A542" s="45">
        <v>717</v>
      </c>
      <c r="B542" s="46" t="s">
        <v>31</v>
      </c>
      <c r="C542" s="47" t="s">
        <v>668</v>
      </c>
      <c r="D542" s="1409"/>
      <c r="E542" s="1411"/>
      <c r="F542" s="1409"/>
      <c r="G542" s="1411"/>
      <c r="H542" s="92"/>
      <c r="I542" s="1412"/>
      <c r="J542" s="1385"/>
      <c r="K542" s="243"/>
      <c r="L542" s="243"/>
      <c r="M542" s="243"/>
      <c r="N542" s="236"/>
      <c r="O542" s="261"/>
      <c r="P542" s="261"/>
      <c r="Q542" s="237"/>
      <c r="R542" s="237"/>
      <c r="S542" s="237"/>
      <c r="T542" s="186"/>
      <c r="U542" s="131"/>
      <c r="V542" s="242"/>
      <c r="W542" s="61"/>
    </row>
    <row r="543" spans="1:23" ht="12.75">
      <c r="A543" s="96">
        <v>717</v>
      </c>
      <c r="B543" s="145" t="s">
        <v>34</v>
      </c>
      <c r="C543" s="257" t="s">
        <v>669</v>
      </c>
      <c r="D543" s="1413">
        <v>506006</v>
      </c>
      <c r="E543" s="1411"/>
      <c r="F543" s="1413"/>
      <c r="G543" s="1411"/>
      <c r="H543" s="92"/>
      <c r="I543" s="1412"/>
      <c r="J543" s="1414"/>
      <c r="K543" s="222">
        <v>0</v>
      </c>
      <c r="L543" s="222">
        <v>0</v>
      </c>
      <c r="M543" s="222">
        <v>438000</v>
      </c>
      <c r="N543" s="294">
        <v>140503.28</v>
      </c>
      <c r="O543" s="197">
        <v>10000</v>
      </c>
      <c r="P543" s="185">
        <v>448000</v>
      </c>
      <c r="Q543" s="187">
        <v>240110.47</v>
      </c>
      <c r="R543" s="187">
        <v>448000</v>
      </c>
      <c r="S543" s="187">
        <v>349355.99</v>
      </c>
      <c r="T543" s="187">
        <v>436436</v>
      </c>
      <c r="U543" s="304">
        <f>R543-T543</f>
        <v>11564</v>
      </c>
      <c r="V543" s="189">
        <v>436435.89</v>
      </c>
      <c r="W543" s="61"/>
    </row>
    <row r="544" spans="1:23" ht="12.75">
      <c r="A544" s="1387">
        <v>717</v>
      </c>
      <c r="B544" s="1388" t="s">
        <v>34</v>
      </c>
      <c r="C544" s="1389" t="s">
        <v>670</v>
      </c>
      <c r="D544" s="1415"/>
      <c r="E544" s="1416"/>
      <c r="F544" s="1417"/>
      <c r="G544" s="1416"/>
      <c r="H544" s="1418"/>
      <c r="I544" s="1416"/>
      <c r="J544" s="1223"/>
      <c r="K544" s="1140"/>
      <c r="L544" s="1140"/>
      <c r="M544" s="1140"/>
      <c r="N544" s="1390"/>
      <c r="O544" s="1390"/>
      <c r="P544" s="1390"/>
      <c r="Q544" s="1419"/>
      <c r="R544" s="1419"/>
      <c r="S544" s="1138">
        <v>119317.84</v>
      </c>
      <c r="T544" s="926"/>
      <c r="U544" s="934"/>
      <c r="V544" s="1420">
        <v>200743.19</v>
      </c>
      <c r="W544" s="61"/>
    </row>
    <row r="545" spans="1:23" s="33" customFormat="1" ht="12.75">
      <c r="A545" s="1421" t="s">
        <v>671</v>
      </c>
      <c r="B545" s="1422"/>
      <c r="C545" s="1423"/>
      <c r="D545" s="1424">
        <f>D499+D506+D512+D517+D522+D524+D533+D540</f>
        <v>1275190</v>
      </c>
      <c r="E545" s="1425">
        <v>247236</v>
      </c>
      <c r="F545" s="1426">
        <v>19.39</v>
      </c>
      <c r="G545" s="1425">
        <v>248388</v>
      </c>
      <c r="H545" s="1310">
        <v>19.48</v>
      </c>
      <c r="I545" s="1427">
        <f>I499+I506+I512+I517+I522+I524+I533+I540</f>
        <v>251751</v>
      </c>
      <c r="J545" s="1428"/>
      <c r="K545" s="1429">
        <f>SUM(K499,K506,K512,K515,K517,K522,K524,K533,K540)</f>
        <v>728751</v>
      </c>
      <c r="L545" s="1429">
        <f>SUM(L499,L506,L512,L515,L517,L522,L524,L533,L540+L536)</f>
        <v>768466</v>
      </c>
      <c r="M545" s="1429">
        <f>SUM(M499,M506,M512,M515,M517,M522,M524,M533,M540)</f>
        <v>720858</v>
      </c>
      <c r="N545" s="1430">
        <f>N506+N509+N514+N516+N518+N523+N524+N533+N536+N540</f>
        <v>282719.94</v>
      </c>
      <c r="O545" s="1431">
        <f>O529-O502-O540</f>
        <v>48020</v>
      </c>
      <c r="P545" s="1429">
        <f>SUM(P499,P506,P512,P515,P517,P522,P524,P533,P536,P540+P502)</f>
        <v>672838</v>
      </c>
      <c r="Q545" s="1432">
        <f>Q499+Q502+Q506+Q512+Q515+Q517+Q522+Q524+Q533+Q536+Q540</f>
        <v>523033.43999999994</v>
      </c>
      <c r="R545" s="1432">
        <f>R540+R536+R533+R524+R522+R517+R515+R512+R506+R502+R499</f>
        <v>672838</v>
      </c>
      <c r="S545" s="1432">
        <f>S540+S536+S533+S524+S522+S517+S515+S512+S506+S502+S499</f>
        <v>505470.04</v>
      </c>
      <c r="T545" s="1432">
        <f>SUM(T499,T506,T512,T515,T517,T522,T524,T533,T540,T502)</f>
        <v>594050.05</v>
      </c>
      <c r="U545" s="1433">
        <f>U540+U524-U502-U499</f>
        <v>78787.95</v>
      </c>
      <c r="V545" s="1434">
        <f>V540+V536+V533+V524+V522+V517+V515+V512+V506+V502+V499</f>
        <v>590311.97</v>
      </c>
      <c r="W545" s="1435">
        <f>V545/T545*100</f>
        <v>99.37074662311701</v>
      </c>
    </row>
    <row r="546" spans="1:22" s="33" customFormat="1" ht="12.75">
      <c r="A546" s="1"/>
      <c r="B546" s="1"/>
      <c r="C546" s="1"/>
      <c r="D546" s="1"/>
      <c r="E546" s="1"/>
      <c r="F546" s="1"/>
      <c r="G546" s="1"/>
      <c r="H546" s="820"/>
      <c r="I546" s="72"/>
      <c r="J546" s="72"/>
      <c r="K546" s="1"/>
      <c r="L546" s="1"/>
      <c r="M546" s="1"/>
      <c r="N546" s="1"/>
      <c r="O546" s="1"/>
      <c r="P546" s="1"/>
      <c r="Q546" s="79"/>
      <c r="R546" s="79"/>
      <c r="S546" s="79"/>
      <c r="T546" s="1"/>
      <c r="U546" s="1"/>
      <c r="V546" s="79"/>
    </row>
    <row r="547" spans="1:22" s="33" customFormat="1" ht="12.75">
      <c r="A547" s="1"/>
      <c r="B547" s="1"/>
      <c r="C547" s="1"/>
      <c r="D547" s="1"/>
      <c r="E547" s="1"/>
      <c r="F547" s="1"/>
      <c r="G547" s="1"/>
      <c r="H547" s="820"/>
      <c r="I547" s="72"/>
      <c r="J547" s="7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s="33" customFormat="1" ht="12.75">
      <c r="A548" s="1"/>
      <c r="B548" s="1"/>
      <c r="C548" s="821" t="s">
        <v>672</v>
      </c>
      <c r="D548" s="1"/>
      <c r="E548" s="1"/>
      <c r="F548" s="1"/>
      <c r="G548" s="1"/>
      <c r="H548" s="820"/>
      <c r="I548" s="72"/>
      <c r="J548" s="7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s="33" customFormat="1" ht="12.75">
      <c r="A549" s="1"/>
      <c r="B549" s="1"/>
      <c r="C549" s="1"/>
      <c r="D549" s="1"/>
      <c r="E549" s="1"/>
      <c r="F549" s="1"/>
      <c r="G549" s="1"/>
      <c r="H549" s="820"/>
      <c r="I549" s="72"/>
      <c r="J549" s="7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3" s="1024" customFormat="1" ht="39.75" customHeight="1">
      <c r="A550" s="822" t="s">
        <v>673</v>
      </c>
      <c r="B550" s="823"/>
      <c r="C550" s="824"/>
      <c r="D550" s="825" t="s">
        <v>13</v>
      </c>
      <c r="E550" s="825" t="s">
        <v>14</v>
      </c>
      <c r="F550" s="826" t="s">
        <v>15</v>
      </c>
      <c r="G550" s="825" t="s">
        <v>16</v>
      </c>
      <c r="H550" s="826" t="s">
        <v>15</v>
      </c>
      <c r="I550" s="825" t="s">
        <v>17</v>
      </c>
      <c r="J550" s="827" t="s">
        <v>15</v>
      </c>
      <c r="K550" s="832" t="s">
        <v>20</v>
      </c>
      <c r="L550" s="829" t="s">
        <v>18</v>
      </c>
      <c r="M550" s="830">
        <v>2012</v>
      </c>
      <c r="N550" s="19" t="s">
        <v>537</v>
      </c>
      <c r="O550" s="832" t="s">
        <v>20</v>
      </c>
      <c r="P550" s="832" t="s">
        <v>21</v>
      </c>
      <c r="Q550" s="21" t="s">
        <v>22</v>
      </c>
      <c r="R550" s="21" t="s">
        <v>436</v>
      </c>
      <c r="S550" s="21" t="s">
        <v>23</v>
      </c>
      <c r="T550" s="20" t="s">
        <v>24</v>
      </c>
      <c r="U550" s="19" t="s">
        <v>437</v>
      </c>
      <c r="V550" s="22" t="s">
        <v>26</v>
      </c>
      <c r="W550" s="827" t="s">
        <v>15</v>
      </c>
    </row>
    <row r="551" spans="1:23" s="72" customFormat="1" ht="12.75">
      <c r="A551" s="45">
        <v>824</v>
      </c>
      <c r="B551" s="46"/>
      <c r="C551" s="47" t="s">
        <v>674</v>
      </c>
      <c r="D551" s="131">
        <v>3000</v>
      </c>
      <c r="E551" s="62">
        <v>1539</v>
      </c>
      <c r="F551" s="131"/>
      <c r="G551" s="62">
        <v>3080</v>
      </c>
      <c r="H551" s="92"/>
      <c r="I551" s="236">
        <v>4620</v>
      </c>
      <c r="J551" s="292"/>
      <c r="K551" s="73">
        <v>6000</v>
      </c>
      <c r="L551" s="222">
        <v>6161</v>
      </c>
      <c r="M551" s="222">
        <v>6000</v>
      </c>
      <c r="N551" s="236">
        <v>1540.83</v>
      </c>
      <c r="O551" s="222"/>
      <c r="P551" s="185">
        <v>6000</v>
      </c>
      <c r="Q551" s="187">
        <v>3081.66</v>
      </c>
      <c r="R551" s="187">
        <v>6000</v>
      </c>
      <c r="S551" s="187">
        <v>4622.49</v>
      </c>
      <c r="T551" s="187">
        <v>6000</v>
      </c>
      <c r="U551" s="187"/>
      <c r="V551" s="189">
        <v>5911.14</v>
      </c>
      <c r="W551" s="131"/>
    </row>
    <row r="552" spans="1:23" s="72" customFormat="1" ht="12.75">
      <c r="A552" s="45">
        <v>821</v>
      </c>
      <c r="B552" s="46"/>
      <c r="C552" s="47" t="s">
        <v>675</v>
      </c>
      <c r="D552" s="131">
        <v>137000</v>
      </c>
      <c r="E552" s="62">
        <v>0</v>
      </c>
      <c r="F552" s="131"/>
      <c r="G552" s="62">
        <v>51846</v>
      </c>
      <c r="H552" s="92"/>
      <c r="I552" s="236">
        <v>135333</v>
      </c>
      <c r="J552" s="292"/>
      <c r="K552" s="1436">
        <v>137000</v>
      </c>
      <c r="L552" s="185">
        <v>135333</v>
      </c>
      <c r="M552" s="185">
        <v>333637</v>
      </c>
      <c r="N552" s="236">
        <v>0</v>
      </c>
      <c r="O552" s="197">
        <v>67112</v>
      </c>
      <c r="P552" s="185">
        <f>M552+O552</f>
        <v>400749</v>
      </c>
      <c r="Q552" s="187">
        <v>34114.85</v>
      </c>
      <c r="R552" s="187">
        <v>400749</v>
      </c>
      <c r="S552" s="187">
        <v>34114.85</v>
      </c>
      <c r="T552" s="187">
        <v>188795.17</v>
      </c>
      <c r="U552" s="304">
        <f>R552-T552</f>
        <v>211953.83</v>
      </c>
      <c r="V552" s="189">
        <v>188795.17</v>
      </c>
      <c r="W552" s="131"/>
    </row>
    <row r="553" spans="1:23" ht="12.75">
      <c r="A553" s="206" t="s">
        <v>676</v>
      </c>
      <c r="B553" s="247"/>
      <c r="C553" s="208"/>
      <c r="D553" s="297">
        <f>D551+D552</f>
        <v>140000</v>
      </c>
      <c r="E553" s="248">
        <v>1539</v>
      </c>
      <c r="F553" s="250">
        <v>1.1</v>
      </c>
      <c r="G553" s="248">
        <v>54926</v>
      </c>
      <c r="H553" s="1310">
        <v>39.23</v>
      </c>
      <c r="I553" s="298">
        <f>I551+I552</f>
        <v>139953</v>
      </c>
      <c r="J553" s="1437">
        <v>99.97</v>
      </c>
      <c r="K553" s="1312">
        <f>SUM(K551,K552)</f>
        <v>143000</v>
      </c>
      <c r="L553" s="1312">
        <f>SUM(L551,L552)</f>
        <v>141494</v>
      </c>
      <c r="M553" s="1312">
        <f>SUM(M551,M552)</f>
        <v>339637</v>
      </c>
      <c r="N553" s="298">
        <f>N551+N552</f>
        <v>1540.83</v>
      </c>
      <c r="O553" s="1313">
        <f>O552</f>
        <v>67112</v>
      </c>
      <c r="P553" s="1312">
        <f>SUM(P551,P552)</f>
        <v>406749</v>
      </c>
      <c r="Q553" s="1315">
        <v>37196.51</v>
      </c>
      <c r="R553" s="1315">
        <f>R551+R552</f>
        <v>406749</v>
      </c>
      <c r="S553" s="1315">
        <f>S551+S552</f>
        <v>38737.34</v>
      </c>
      <c r="T553" s="1315">
        <f>SUM(T551,T552)</f>
        <v>194795.17</v>
      </c>
      <c r="U553" s="1438">
        <f>U552</f>
        <v>211953.83</v>
      </c>
      <c r="V553" s="1439">
        <f>V551+V552</f>
        <v>194706.31000000003</v>
      </c>
      <c r="W553" s="1319">
        <f>V553/T553*100</f>
        <v>99.95438285251119</v>
      </c>
    </row>
    <row r="554" spans="1:8" ht="12.75">
      <c r="A554" s="72"/>
      <c r="B554" s="72"/>
      <c r="C554" s="72"/>
      <c r="D554" s="72"/>
      <c r="E554" s="72"/>
      <c r="F554" s="72"/>
      <c r="G554" s="72"/>
      <c r="H554" s="78"/>
    </row>
    <row r="555" spans="1:8" ht="12.75" customHeight="1">
      <c r="A555" s="72"/>
      <c r="B555" s="72"/>
      <c r="C555" s="72"/>
      <c r="D555" s="72"/>
      <c r="E555" s="72"/>
      <c r="F555" s="72"/>
      <c r="G555" s="72"/>
      <c r="H555" s="78"/>
    </row>
    <row r="556" spans="1:8" ht="12.75" customHeight="1">
      <c r="A556" s="72"/>
      <c r="B556" s="72"/>
      <c r="C556" s="72"/>
      <c r="D556" s="72"/>
      <c r="E556" s="72"/>
      <c r="F556" s="72"/>
      <c r="G556" s="72"/>
      <c r="H556" s="78"/>
    </row>
    <row r="557" spans="1:8" ht="12.75" customHeight="1">
      <c r="A557" s="72"/>
      <c r="B557" s="72"/>
      <c r="C557" s="72"/>
      <c r="D557" s="72"/>
      <c r="E557" s="72"/>
      <c r="F557" s="72"/>
      <c r="G557" s="72"/>
      <c r="H557" s="78"/>
    </row>
    <row r="558" spans="1:8" ht="12.75" customHeight="1">
      <c r="A558" s="72"/>
      <c r="B558" s="72"/>
      <c r="C558" s="72"/>
      <c r="D558" s="72"/>
      <c r="E558" s="72"/>
      <c r="F558" s="72"/>
      <c r="G558" s="72"/>
      <c r="H558" s="78"/>
    </row>
    <row r="559" spans="1:8" ht="12.75" customHeight="1">
      <c r="A559" s="72"/>
      <c r="B559" s="72"/>
      <c r="C559" s="72"/>
      <c r="D559" s="72"/>
      <c r="E559" s="72"/>
      <c r="F559" s="72"/>
      <c r="G559" s="72"/>
      <c r="H559" s="78"/>
    </row>
    <row r="560" spans="1:8" ht="12.75">
      <c r="A560" s="72"/>
      <c r="B560" s="72"/>
      <c r="C560" s="72"/>
      <c r="D560" s="72"/>
      <c r="E560" s="72"/>
      <c r="F560" s="72"/>
      <c r="G560" s="72"/>
      <c r="H560" s="78"/>
    </row>
    <row r="561" spans="1:8" ht="12.75">
      <c r="A561" s="72"/>
      <c r="B561" s="72"/>
      <c r="C561" s="72"/>
      <c r="D561" s="72"/>
      <c r="E561" s="72"/>
      <c r="F561" s="72"/>
      <c r="G561" s="72"/>
      <c r="H561" s="78"/>
    </row>
    <row r="562" spans="1:23" s="1024" customFormat="1" ht="39.75" customHeight="1">
      <c r="A562" s="1440" t="s">
        <v>677</v>
      </c>
      <c r="B562" s="1441"/>
      <c r="C562" s="1442"/>
      <c r="D562" s="1443" t="s">
        <v>13</v>
      </c>
      <c r="E562" s="1443" t="s">
        <v>14</v>
      </c>
      <c r="F562" s="1444" t="s">
        <v>15</v>
      </c>
      <c r="G562" s="1443" t="s">
        <v>16</v>
      </c>
      <c r="H562" s="1444" t="s">
        <v>15</v>
      </c>
      <c r="I562" s="1445" t="s">
        <v>17</v>
      </c>
      <c r="J562" s="1446" t="s">
        <v>15</v>
      </c>
      <c r="K562" s="1447" t="s">
        <v>20</v>
      </c>
      <c r="L562" s="1448" t="s">
        <v>18</v>
      </c>
      <c r="M562" s="1449">
        <v>2012</v>
      </c>
      <c r="N562" s="1450" t="s">
        <v>537</v>
      </c>
      <c r="O562" s="1451" t="s">
        <v>20</v>
      </c>
      <c r="P562" s="1451" t="s">
        <v>21</v>
      </c>
      <c r="Q562" s="1452" t="s">
        <v>22</v>
      </c>
      <c r="R562" s="1452" t="s">
        <v>436</v>
      </c>
      <c r="S562" s="1452" t="s">
        <v>23</v>
      </c>
      <c r="T562" s="1453" t="s">
        <v>24</v>
      </c>
      <c r="U562" s="1454" t="s">
        <v>25</v>
      </c>
      <c r="V562" s="1455" t="s">
        <v>26</v>
      </c>
      <c r="W562" s="1444" t="s">
        <v>15</v>
      </c>
    </row>
    <row r="563" spans="1:23" ht="14.25">
      <c r="A563" s="1456" t="s">
        <v>678</v>
      </c>
      <c r="B563" s="1457"/>
      <c r="C563" s="1457"/>
      <c r="D563" s="38">
        <f>D462</f>
        <v>1196640</v>
      </c>
      <c r="E563" s="38">
        <f>E462</f>
        <v>291286</v>
      </c>
      <c r="F563" s="138">
        <f>F462</f>
        <v>25.76</v>
      </c>
      <c r="G563" s="38">
        <f>G462</f>
        <v>575933</v>
      </c>
      <c r="H563" s="1458">
        <v>50.94</v>
      </c>
      <c r="I563" s="185" t="e">
        <f>I462</f>
        <v>#VALUE!</v>
      </c>
      <c r="J563" s="1459">
        <v>45.21</v>
      </c>
      <c r="K563" s="185">
        <f aca="true" t="shared" si="5" ref="K563:P563">SUM(K462)</f>
        <v>1196640</v>
      </c>
      <c r="L563" s="185">
        <f t="shared" si="5"/>
        <v>1275619</v>
      </c>
      <c r="M563" s="185">
        <f t="shared" si="5"/>
        <v>1106557</v>
      </c>
      <c r="N563" s="185">
        <f t="shared" si="5"/>
        <v>270608.94</v>
      </c>
      <c r="O563" s="197">
        <f t="shared" si="5"/>
        <v>54843</v>
      </c>
      <c r="P563" s="187">
        <f t="shared" si="5"/>
        <v>1161400</v>
      </c>
      <c r="Q563" s="187">
        <f>Q462</f>
        <v>575728.13</v>
      </c>
      <c r="R563" s="187">
        <f>P563</f>
        <v>1161400</v>
      </c>
      <c r="S563" s="187">
        <f>S462</f>
        <v>864469.0400000002</v>
      </c>
      <c r="T563" s="187">
        <f>SUM(T462)</f>
        <v>1266508.7200000002</v>
      </c>
      <c r="U563" s="302">
        <f>U462</f>
        <v>107608.72</v>
      </c>
      <c r="V563" s="189">
        <f>V462</f>
        <v>1271012.42</v>
      </c>
      <c r="W563" s="1460">
        <f>V563/T563*100</f>
        <v>100.35559960455697</v>
      </c>
    </row>
    <row r="564" spans="1:23" ht="14.25">
      <c r="A564" s="1456" t="s">
        <v>679</v>
      </c>
      <c r="B564" s="1457"/>
      <c r="C564" s="1457"/>
      <c r="D564" s="123">
        <f>D545</f>
        <v>1275190</v>
      </c>
      <c r="E564" s="123">
        <f>E545</f>
        <v>247236</v>
      </c>
      <c r="F564" s="126">
        <f>F545</f>
        <v>19.39</v>
      </c>
      <c r="G564" s="123">
        <f>G545</f>
        <v>248388</v>
      </c>
      <c r="H564" s="1461">
        <v>19.49</v>
      </c>
      <c r="I564" s="62">
        <f>I545</f>
        <v>251751</v>
      </c>
      <c r="J564" s="1462">
        <v>19.48</v>
      </c>
      <c r="K564" s="131">
        <f>SUM(K545)</f>
        <v>728751</v>
      </c>
      <c r="L564" s="131">
        <f>SUM(L545)</f>
        <v>768466</v>
      </c>
      <c r="M564" s="131">
        <f>SUM(M545)</f>
        <v>720858</v>
      </c>
      <c r="N564" s="62">
        <f>SUM(N545)</f>
        <v>282719.94</v>
      </c>
      <c r="O564" s="240">
        <f>O545</f>
        <v>48020</v>
      </c>
      <c r="P564" s="186">
        <f>SUM(P545)</f>
        <v>672838</v>
      </c>
      <c r="Q564" s="186">
        <f>Q545</f>
        <v>523033.43999999994</v>
      </c>
      <c r="R564" s="186">
        <f>P564</f>
        <v>672838</v>
      </c>
      <c r="S564" s="186">
        <f>S545</f>
        <v>505470.04</v>
      </c>
      <c r="T564" s="186">
        <f>SUM(T545)</f>
        <v>594050.05</v>
      </c>
      <c r="U564" s="279">
        <f>U545</f>
        <v>78787.95</v>
      </c>
      <c r="V564" s="233">
        <f>V545</f>
        <v>590311.97</v>
      </c>
      <c r="W564" s="1460">
        <f>V564/T564*100</f>
        <v>99.37074662311701</v>
      </c>
    </row>
    <row r="565" spans="1:23" ht="14.25">
      <c r="A565" s="1456" t="s">
        <v>673</v>
      </c>
      <c r="B565" s="1457"/>
      <c r="C565" s="1457"/>
      <c r="D565" s="63">
        <f>D553</f>
        <v>140000</v>
      </c>
      <c r="E565" s="63">
        <f>E553</f>
        <v>1539</v>
      </c>
      <c r="F565" s="66">
        <f>F553</f>
        <v>1.1</v>
      </c>
      <c r="G565" s="63">
        <f>G553</f>
        <v>54926</v>
      </c>
      <c r="H565" s="1463">
        <v>39.23</v>
      </c>
      <c r="I565" s="255">
        <f>I553</f>
        <v>139953</v>
      </c>
      <c r="J565" s="1464">
        <v>99.97</v>
      </c>
      <c r="K565" s="255">
        <f>K553</f>
        <v>143000</v>
      </c>
      <c r="L565" s="255">
        <f>L553</f>
        <v>141494</v>
      </c>
      <c r="M565" s="255">
        <f>M553</f>
        <v>339637</v>
      </c>
      <c r="N565" s="255">
        <f>SUM(N553)</f>
        <v>1540.83</v>
      </c>
      <c r="O565" s="306">
        <f>O552</f>
        <v>67112</v>
      </c>
      <c r="P565" s="241">
        <f>SUM(P553)</f>
        <v>406749</v>
      </c>
      <c r="Q565" s="241">
        <f>Q553</f>
        <v>37196.51</v>
      </c>
      <c r="R565" s="241">
        <f>P565</f>
        <v>406749</v>
      </c>
      <c r="S565" s="241">
        <f>S553</f>
        <v>38737.34</v>
      </c>
      <c r="T565" s="241">
        <f>T553</f>
        <v>194795.17</v>
      </c>
      <c r="U565" s="1465">
        <f>U553</f>
        <v>211953.83</v>
      </c>
      <c r="V565" s="307">
        <f>V553</f>
        <v>194706.31000000003</v>
      </c>
      <c r="W565" s="1460">
        <f>V565/T565*100</f>
        <v>99.95438285251119</v>
      </c>
    </row>
    <row r="566" spans="1:23" ht="15">
      <c r="A566" s="308" t="s">
        <v>680</v>
      </c>
      <c r="B566" s="309"/>
      <c r="C566" s="309"/>
      <c r="D566" s="1466">
        <f>SUM(D563:D565)</f>
        <v>2611830</v>
      </c>
      <c r="E566" s="1466">
        <f>SUM(E563:E565)</f>
        <v>540061</v>
      </c>
      <c r="F566" s="1467">
        <v>21.21</v>
      </c>
      <c r="G566" s="1466">
        <f>SUM(G563:G565)</f>
        <v>879247</v>
      </c>
      <c r="H566" s="1468">
        <v>34.54</v>
      </c>
      <c r="I566" s="1345" t="e">
        <f>SUM(I563:I565)</f>
        <v>#VALUE!</v>
      </c>
      <c r="J566" s="1469">
        <v>35.33</v>
      </c>
      <c r="K566" s="1345">
        <f>SUM(K563,K564,K565)</f>
        <v>2068391</v>
      </c>
      <c r="L566" s="1345">
        <f>SUM(L563,L564,L565)</f>
        <v>2185579</v>
      </c>
      <c r="M566" s="1345">
        <f>SUM(M563,M564,M565)</f>
        <v>2167052</v>
      </c>
      <c r="N566" s="1345">
        <f>SUM(N563,N564,N565)</f>
        <v>554869.71</v>
      </c>
      <c r="O566" s="1470">
        <f>SUM(O563,-O564,O565)</f>
        <v>73935</v>
      </c>
      <c r="P566" s="1471">
        <f>SUM(P563,P564,P565)</f>
        <v>2240987</v>
      </c>
      <c r="Q566" s="1471">
        <f>Q563+Q564+Q565</f>
        <v>1135958.0799999998</v>
      </c>
      <c r="R566" s="1471">
        <f>R563+R564+R565</f>
        <v>2240987</v>
      </c>
      <c r="S566" s="1471">
        <f>S563+S564+S565</f>
        <v>1408676.4200000002</v>
      </c>
      <c r="T566" s="1471">
        <f>SUM(T563,T564,T565)</f>
        <v>2055353.9400000002</v>
      </c>
      <c r="U566" s="1472">
        <f>U565+U564-U563</f>
        <v>183133.05999999997</v>
      </c>
      <c r="V566" s="1473">
        <f>V563+V564+V565</f>
        <v>2056030.7</v>
      </c>
      <c r="W566" s="1006">
        <f>V566/T566*100</f>
        <v>100.0329266890159</v>
      </c>
    </row>
    <row r="567" spans="1:22" ht="14.25">
      <c r="A567" s="1474"/>
      <c r="B567" s="1475"/>
      <c r="C567" s="1475"/>
      <c r="D567" s="152"/>
      <c r="E567" s="77"/>
      <c r="F567" s="77"/>
      <c r="G567" s="77"/>
      <c r="H567" s="78"/>
      <c r="J567" s="1476"/>
      <c r="N567" s="79"/>
      <c r="S567" s="1477"/>
      <c r="T567" s="79"/>
      <c r="U567" s="1356"/>
      <c r="V567" s="1477"/>
    </row>
    <row r="568" spans="1:23" ht="14.25">
      <c r="A568" s="1456" t="s">
        <v>11</v>
      </c>
      <c r="B568" s="1457"/>
      <c r="C568" s="1457"/>
      <c r="D568" s="63">
        <f>príjmy!D209</f>
        <v>1262698</v>
      </c>
      <c r="E568" s="63" t="e">
        <f>príjmy!E209</f>
        <v>#N/A</v>
      </c>
      <c r="F568" s="66">
        <v>26.23</v>
      </c>
      <c r="G568" s="63" t="e">
        <f>príjmy!G209</f>
        <v>#N/A</v>
      </c>
      <c r="H568" s="1463">
        <v>47.98</v>
      </c>
      <c r="I568" s="63" t="e">
        <f>príjmy!I209</f>
        <v>#VALUE!</v>
      </c>
      <c r="J568" s="1478">
        <v>71.3</v>
      </c>
      <c r="K568" s="1436">
        <f>príjmy!K209</f>
        <v>1291907</v>
      </c>
      <c r="L568" s="236">
        <f>'[2]príjmy'!L188</f>
        <v>0</v>
      </c>
      <c r="M568" s="1572">
        <f>príjmy!L209</f>
        <v>1272308</v>
      </c>
      <c r="N568" s="150">
        <f>SUM(príjmy!M209)</f>
        <v>352794.43999999994</v>
      </c>
      <c r="O568" s="197">
        <f>SUM(príjmy!N209)</f>
        <v>75934.59</v>
      </c>
      <c r="P568" s="1479">
        <f>SUM(príjmy!O209)</f>
        <v>1348243</v>
      </c>
      <c r="Q568" s="186">
        <f>príjmy!P209</f>
        <v>681789.66</v>
      </c>
      <c r="R568" s="187">
        <f>P568</f>
        <v>1348243</v>
      </c>
      <c r="S568" s="187">
        <f>príjmy!Q209</f>
        <v>976984.06</v>
      </c>
      <c r="T568" s="187">
        <f>príjmy!R209</f>
        <v>1370550.23</v>
      </c>
      <c r="U568" s="302">
        <f>príjmy!S209</f>
        <v>6534.229999999996</v>
      </c>
      <c r="V568" s="189">
        <f>príjmy!T209</f>
        <v>1402630.69</v>
      </c>
      <c r="W568" s="1460">
        <f>V568/T568*100</f>
        <v>102.34069932628445</v>
      </c>
    </row>
    <row r="569" spans="1:23" ht="14.25">
      <c r="A569" s="1456" t="s">
        <v>105</v>
      </c>
      <c r="B569" s="1457"/>
      <c r="C569" s="1457"/>
      <c r="D569" s="63">
        <f>príjmy!D210</f>
        <v>684780</v>
      </c>
      <c r="E569" s="63">
        <f>príjmy!E210</f>
        <v>91</v>
      </c>
      <c r="F569" s="66">
        <v>0</v>
      </c>
      <c r="G569" s="63">
        <f>príjmy!G210</f>
        <v>51932</v>
      </c>
      <c r="H569" s="1463">
        <v>4.07</v>
      </c>
      <c r="I569" s="63">
        <f>príjmy!I210</f>
        <v>231302</v>
      </c>
      <c r="J569" s="1478">
        <v>18.14</v>
      </c>
      <c r="K569" s="1436">
        <f>príjmy!K210</f>
        <v>720865</v>
      </c>
      <c r="L569" s="236">
        <f>'[2]príjmy'!L189</f>
        <v>0</v>
      </c>
      <c r="M569" s="1573">
        <f>príjmy!L210</f>
        <v>584744</v>
      </c>
      <c r="N569" s="150">
        <f>SUM(príjmy!M210)</f>
        <v>133979.92</v>
      </c>
      <c r="O569" s="303">
        <f>SUM(príjmy!N210)</f>
        <v>2000</v>
      </c>
      <c r="P569" s="1479">
        <f>SUM(príjmy!O210)</f>
        <v>582744</v>
      </c>
      <c r="Q569" s="186">
        <f>príjmy!P210</f>
        <v>292412.61</v>
      </c>
      <c r="R569" s="187">
        <f>P569</f>
        <v>582744</v>
      </c>
      <c r="S569" s="187">
        <f>príjmy!Q210</f>
        <v>338092.73</v>
      </c>
      <c r="T569" s="187">
        <f>príjmy!R210</f>
        <v>421774.89</v>
      </c>
      <c r="U569" s="304">
        <f>príjmy!S210</f>
        <v>160969.11</v>
      </c>
      <c r="V569" s="189">
        <f>príjmy!T210</f>
        <v>419518.07999999996</v>
      </c>
      <c r="W569" s="1460">
        <f>V569/T569*100</f>
        <v>99.4649254724481</v>
      </c>
    </row>
    <row r="570" spans="1:23" ht="14.25">
      <c r="A570" s="1456" t="s">
        <v>119</v>
      </c>
      <c r="B570" s="1457"/>
      <c r="C570" s="1457"/>
      <c r="D570" s="220">
        <f>príjmy!D211</f>
        <v>0</v>
      </c>
      <c r="E570" s="63">
        <f>príjmy!E211</f>
        <v>246629</v>
      </c>
      <c r="F570" s="66">
        <v>0</v>
      </c>
      <c r="G570" s="63">
        <f>príjmy!G211</f>
        <v>246629</v>
      </c>
      <c r="H570" s="1463">
        <v>0</v>
      </c>
      <c r="I570" s="63">
        <f>príjmy!I211</f>
        <v>246629</v>
      </c>
      <c r="J570" s="1480">
        <v>0</v>
      </c>
      <c r="K570" s="1234">
        <f>príjmy!K211</f>
        <v>246629</v>
      </c>
      <c r="L570" s="236">
        <f>'[2]príjmy'!L190</f>
        <v>0</v>
      </c>
      <c r="M570" s="1574">
        <f>príjmy!L211</f>
        <v>310000</v>
      </c>
      <c r="N570" s="150">
        <f>SUM(príjmy!M211)</f>
        <v>140503.28</v>
      </c>
      <c r="O570" s="62">
        <f>SUM(príjmy!N211)</f>
        <v>0</v>
      </c>
      <c r="P570" s="1362">
        <f>SUM(príjmy!O211)</f>
        <v>310000</v>
      </c>
      <c r="Q570" s="186">
        <f>príjmy!P211</f>
        <v>240110.47</v>
      </c>
      <c r="R570" s="186">
        <f>P570</f>
        <v>310000</v>
      </c>
      <c r="S570" s="186">
        <f>príjmy!Q211</f>
        <v>240110.47</v>
      </c>
      <c r="T570" s="186">
        <f>príjmy!R211</f>
        <v>310000</v>
      </c>
      <c r="U570" s="279">
        <f>príjmy!S211</f>
        <v>0</v>
      </c>
      <c r="V570" s="233">
        <f>príjmy!T211</f>
        <v>310000</v>
      </c>
      <c r="W570" s="1460">
        <f>V570/T570*100</f>
        <v>100</v>
      </c>
    </row>
    <row r="571" spans="1:23" ht="14.25">
      <c r="A571" s="1456" t="s">
        <v>129</v>
      </c>
      <c r="B571" s="1457"/>
      <c r="C571" s="1457"/>
      <c r="D571" s="220">
        <f>príjmy!D212</f>
        <v>0</v>
      </c>
      <c r="E571" s="63">
        <f>0+príjmy!E212</f>
        <v>0</v>
      </c>
      <c r="F571" s="66">
        <f>príjmy!G212</f>
        <v>0</v>
      </c>
      <c r="G571" s="63">
        <f>príjmy!G212</f>
        <v>0</v>
      </c>
      <c r="H571" s="1463">
        <v>0</v>
      </c>
      <c r="I571" s="63">
        <f>príjmy!I212</f>
        <v>0</v>
      </c>
      <c r="J571" s="1481">
        <v>0</v>
      </c>
      <c r="K571" s="1482">
        <f>príjmy!K212</f>
        <v>0</v>
      </c>
      <c r="L571" s="236">
        <v>5000</v>
      </c>
      <c r="M571" s="1575">
        <v>5000</v>
      </c>
      <c r="N571" s="150">
        <v>0</v>
      </c>
      <c r="O571" s="306">
        <f>SUM(príjmy!N212)</f>
        <v>0</v>
      </c>
      <c r="P571" s="1483">
        <f>SUM(príjmy!O212)</f>
        <v>0</v>
      </c>
      <c r="Q571" s="186">
        <f>príjmy!P212</f>
        <v>0</v>
      </c>
      <c r="R571" s="241">
        <f>P571</f>
        <v>0</v>
      </c>
      <c r="S571" s="241">
        <f>príjmy!Q212</f>
        <v>0</v>
      </c>
      <c r="T571" s="241">
        <v>0</v>
      </c>
      <c r="U571" s="241">
        <f>príjmy!S212</f>
        <v>0</v>
      </c>
      <c r="V571" s="307">
        <f>príjmy!T212</f>
        <v>0</v>
      </c>
      <c r="W571" s="1460">
        <v>0</v>
      </c>
    </row>
    <row r="572" spans="1:23" ht="15">
      <c r="A572" s="308" t="s">
        <v>134</v>
      </c>
      <c r="B572" s="309"/>
      <c r="C572" s="309"/>
      <c r="D572" s="1466">
        <f>SUM(D568:D571)</f>
        <v>1947478</v>
      </c>
      <c r="E572" s="1466" t="e">
        <f>E568+E569+E570+E571</f>
        <v>#N/A</v>
      </c>
      <c r="F572" s="1467">
        <v>22.77</v>
      </c>
      <c r="G572" s="1466" t="e">
        <f>G568+G569+G570+G571</f>
        <v>#N/A</v>
      </c>
      <c r="H572" s="1468">
        <v>35.63</v>
      </c>
      <c r="I572" s="1466" t="e">
        <f>I568+I569+I570+I571</f>
        <v>#VALUE!</v>
      </c>
      <c r="J572" s="1484">
        <v>54.31</v>
      </c>
      <c r="K572" s="1485">
        <f>SUM(K568,K569,K570,K571)</f>
        <v>2259401</v>
      </c>
      <c r="L572" s="1379">
        <f>SUM(L568,L569,L570,L571)</f>
        <v>5000</v>
      </c>
      <c r="M572" s="1576">
        <f>SUM(M568,M569,M570,M571)</f>
        <v>2172052</v>
      </c>
      <c r="N572" s="1571">
        <f>SUM(N568,N569,N570,N571)</f>
        <v>627277.64</v>
      </c>
      <c r="O572" s="1486">
        <f>SUM(príjmy!N213)</f>
        <v>73934.59</v>
      </c>
      <c r="P572" s="1487">
        <f>SUM(príjmy!O213)</f>
        <v>2240987</v>
      </c>
      <c r="Q572" s="1471">
        <f>Q568+Q569+Q570+Q571</f>
        <v>1214312.74</v>
      </c>
      <c r="R572" s="1488">
        <f>R568+R569+R570+R571</f>
        <v>2240987</v>
      </c>
      <c r="S572" s="1488">
        <f>S568+S569+S570+S571</f>
        <v>1555187.26</v>
      </c>
      <c r="T572" s="1488">
        <f>SUM(T568,T569,T570,T571)</f>
        <v>2102325.12</v>
      </c>
      <c r="U572" s="1489">
        <f>U569+U570-U568</f>
        <v>154434.88</v>
      </c>
      <c r="V572" s="1490">
        <f>V568+V569+V570+V571</f>
        <v>2132148.77</v>
      </c>
      <c r="W572" s="1006">
        <f>V572/T572*100</f>
        <v>101.41860313213591</v>
      </c>
    </row>
    <row r="574" spans="13:22" ht="12.75">
      <c r="M574" s="7"/>
      <c r="N574" s="7"/>
      <c r="O574" s="7"/>
      <c r="P574" s="7"/>
      <c r="Q574" s="7"/>
      <c r="R574" s="7"/>
      <c r="S574" s="7"/>
      <c r="T574" s="79"/>
      <c r="U574" s="7"/>
      <c r="V574" s="7"/>
    </row>
    <row r="576" spans="16:22" ht="12.75">
      <c r="P576" s="7"/>
      <c r="Q576" s="7"/>
      <c r="R576" s="7"/>
      <c r="S576" s="7"/>
      <c r="V576" s="7"/>
    </row>
    <row r="577" spans="17:22" ht="12.75">
      <c r="Q577" s="162"/>
      <c r="R577" s="162"/>
      <c r="S577" s="162"/>
      <c r="V577" s="162"/>
    </row>
    <row r="590" ht="12.75">
      <c r="T590" s="7"/>
    </row>
  </sheetData>
  <mergeCells count="14">
    <mergeCell ref="K440:T440"/>
    <mergeCell ref="A512:C512"/>
    <mergeCell ref="J300:T300"/>
    <mergeCell ref="J307:V307"/>
    <mergeCell ref="I328:W328"/>
    <mergeCell ref="J381:T381"/>
    <mergeCell ref="K117:T117"/>
    <mergeCell ref="I170:W170"/>
    <mergeCell ref="J232:V232"/>
    <mergeCell ref="J283:T283"/>
    <mergeCell ref="A2:T2"/>
    <mergeCell ref="J4:T4"/>
    <mergeCell ref="A5:E5"/>
    <mergeCell ref="K99:T99"/>
  </mergeCells>
  <printOptions/>
  <pageMargins left="0.9840277777777778" right="0.5902777777777778" top="0.39375000000000004" bottom="0.39375000000000004" header="0.11805555555555557" footer="0.11805555555555557"/>
  <pageSetup horizontalDpi="300" verticalDpi="300" orientation="portrait" paperSize="9" scale="95" r:id="rId1"/>
  <headerFooter alignWithMargins="0">
    <oddHeader>&amp;CROZPOČET OBCE TEKOVSKÉ LUŽANY NA ROK 2012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213"/>
  <sheetViews>
    <sheetView workbookViewId="0" topLeftCell="A134">
      <selection activeCell="W144" sqref="W144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31.625" style="1" customWidth="1"/>
    <col min="4" max="7" width="0" style="1" hidden="1" customWidth="1"/>
    <col min="8" max="8" width="0" style="4" hidden="1" customWidth="1"/>
    <col min="9" max="10" width="0" style="1" hidden="1" customWidth="1"/>
    <col min="11" max="11" width="0" style="6" hidden="1" customWidth="1"/>
    <col min="12" max="12" width="10.75390625" style="1" customWidth="1"/>
    <col min="13" max="13" width="0" style="1" hidden="1" customWidth="1"/>
    <col min="14" max="14" width="0" style="7" hidden="1" customWidth="1"/>
    <col min="15" max="15" width="10.75390625" style="1" customWidth="1"/>
    <col min="16" max="17" width="0" style="1" hidden="1" customWidth="1"/>
    <col min="18" max="18" width="9.75390625" style="1" customWidth="1"/>
    <col min="19" max="19" width="0" style="1" hidden="1" customWidth="1"/>
    <col min="20" max="20" width="10.00390625" style="1" customWidth="1"/>
    <col min="21" max="21" width="10.75390625" style="1" customWidth="1"/>
    <col min="22" max="16384" width="9.00390625" style="1" customWidth="1"/>
  </cols>
  <sheetData>
    <row r="1" ht="12.75" hidden="1"/>
    <row r="2" spans="1:18" ht="15.75">
      <c r="A2" s="1589" t="s">
        <v>10</v>
      </c>
      <c r="B2" s="1589"/>
      <c r="C2" s="1589"/>
      <c r="D2" s="1589"/>
      <c r="E2" s="1589"/>
      <c r="F2" s="1589"/>
      <c r="G2" s="1589"/>
      <c r="H2" s="1589"/>
      <c r="I2" s="1589"/>
      <c r="J2" s="1589"/>
      <c r="K2" s="1589"/>
      <c r="L2" s="1589"/>
      <c r="M2" s="1589"/>
      <c r="N2" s="1589"/>
      <c r="O2" s="1589"/>
      <c r="P2" s="1589"/>
      <c r="Q2" s="1589"/>
      <c r="R2" s="1589"/>
    </row>
    <row r="4" ht="15.75">
      <c r="C4" s="8" t="s">
        <v>11</v>
      </c>
    </row>
    <row r="5" spans="1:19" ht="15.75">
      <c r="A5" s="1590"/>
      <c r="B5" s="1590"/>
      <c r="C5" s="1590"/>
      <c r="D5" s="1590"/>
      <c r="E5" s="1590"/>
      <c r="F5" s="1590"/>
      <c r="G5" s="3"/>
      <c r="H5" s="3"/>
      <c r="I5" s="4"/>
      <c r="J5" s="4"/>
      <c r="K5" s="1591" t="s">
        <v>12</v>
      </c>
      <c r="L5" s="1591"/>
      <c r="M5" s="1591"/>
      <c r="N5" s="1591"/>
      <c r="O5" s="1591"/>
      <c r="P5" s="1591"/>
      <c r="Q5" s="1591"/>
      <c r="R5" s="1591"/>
      <c r="S5" s="10"/>
    </row>
    <row r="6" spans="1:20" ht="15.75" hidden="1">
      <c r="A6" s="9"/>
      <c r="B6" s="9"/>
      <c r="C6" s="9"/>
      <c r="D6" s="9"/>
      <c r="E6" s="9"/>
      <c r="F6" s="9"/>
      <c r="G6" s="3"/>
      <c r="H6" s="3"/>
      <c r="I6" s="4"/>
      <c r="J6" s="4"/>
      <c r="K6" s="11"/>
      <c r="L6" s="11"/>
      <c r="M6" s="11"/>
      <c r="N6" s="12"/>
      <c r="O6" s="11"/>
      <c r="P6" s="11"/>
      <c r="Q6" s="11"/>
      <c r="R6" s="11"/>
      <c r="S6" s="10"/>
      <c r="T6" s="11"/>
    </row>
    <row r="8" spans="1:21" s="5" customFormat="1" ht="39.75" customHeight="1">
      <c r="A8" s="13" t="s">
        <v>11</v>
      </c>
      <c r="B8" s="14"/>
      <c r="C8" s="15"/>
      <c r="D8" s="16" t="s">
        <v>13</v>
      </c>
      <c r="E8" s="16" t="s">
        <v>14</v>
      </c>
      <c r="F8" s="17" t="s">
        <v>15</v>
      </c>
      <c r="G8" s="16" t="s">
        <v>16</v>
      </c>
      <c r="H8" s="17" t="s">
        <v>15</v>
      </c>
      <c r="I8" s="16" t="s">
        <v>17</v>
      </c>
      <c r="J8" s="17" t="s">
        <v>15</v>
      </c>
      <c r="K8" s="16" t="s">
        <v>18</v>
      </c>
      <c r="L8" s="18">
        <v>2012</v>
      </c>
      <c r="M8" s="16" t="s">
        <v>19</v>
      </c>
      <c r="N8" s="19" t="s">
        <v>20</v>
      </c>
      <c r="O8" s="20" t="s">
        <v>21</v>
      </c>
      <c r="P8" s="21" t="s">
        <v>22</v>
      </c>
      <c r="Q8" s="21" t="s">
        <v>23</v>
      </c>
      <c r="R8" s="20" t="s">
        <v>24</v>
      </c>
      <c r="S8" s="19" t="s">
        <v>25</v>
      </c>
      <c r="T8" s="22" t="s">
        <v>26</v>
      </c>
      <c r="U8" s="17" t="s">
        <v>15</v>
      </c>
    </row>
    <row r="9" spans="1:21" s="33" customFormat="1" ht="12.75">
      <c r="A9" s="23" t="s">
        <v>27</v>
      </c>
      <c r="B9" s="24"/>
      <c r="C9" s="25"/>
      <c r="D9" s="26">
        <f>0+SUM(D10,D11)</f>
        <v>648192</v>
      </c>
      <c r="E9" s="26">
        <f>0+SUM(E10,E11)</f>
        <v>173670</v>
      </c>
      <c r="F9" s="27">
        <v>34.14</v>
      </c>
      <c r="G9" s="26">
        <f>SUM(G10,G11)</f>
        <v>287031</v>
      </c>
      <c r="H9" s="27">
        <v>44.28</v>
      </c>
      <c r="I9" s="26">
        <f>I10+I11</f>
        <v>450357</v>
      </c>
      <c r="J9" s="27">
        <v>69.48</v>
      </c>
      <c r="K9" s="28">
        <f>SUM(K10,K11)</f>
        <v>672791</v>
      </c>
      <c r="L9" s="29">
        <f>SUM(L10,L11)</f>
        <v>663692</v>
      </c>
      <c r="M9" s="27">
        <f>M10+M11</f>
        <v>166530.69999999998</v>
      </c>
      <c r="N9" s="27"/>
      <c r="O9" s="27">
        <f>SUM(O10,O11)</f>
        <v>663692</v>
      </c>
      <c r="P9" s="27">
        <f>P10+P11</f>
        <v>301367.26</v>
      </c>
      <c r="Q9" s="27">
        <f>Q10+Q11</f>
        <v>461701.39</v>
      </c>
      <c r="R9" s="29">
        <f>SUM(R10,R11)</f>
        <v>643981</v>
      </c>
      <c r="S9" s="30">
        <f>S12+S14</f>
        <v>19711</v>
      </c>
      <c r="T9" s="31">
        <f>T10+T11</f>
        <v>670535.5800000001</v>
      </c>
      <c r="U9" s="1230">
        <f>T9/R9*100</f>
        <v>104.12350364374106</v>
      </c>
    </row>
    <row r="10" spans="1:21" s="5" customFormat="1" ht="12.75">
      <c r="A10" s="34">
        <v>111</v>
      </c>
      <c r="B10" s="35" t="s">
        <v>28</v>
      </c>
      <c r="C10" s="36" t="s">
        <v>29</v>
      </c>
      <c r="D10" s="37">
        <v>485000</v>
      </c>
      <c r="E10" s="37">
        <v>154385</v>
      </c>
      <c r="F10" s="38"/>
      <c r="G10" s="37">
        <v>244787</v>
      </c>
      <c r="H10" s="37"/>
      <c r="I10" s="37">
        <v>383055</v>
      </c>
      <c r="J10" s="37"/>
      <c r="K10" s="39">
        <v>522837</v>
      </c>
      <c r="L10" s="41">
        <v>497500</v>
      </c>
      <c r="M10" s="40">
        <v>154042.65</v>
      </c>
      <c r="N10" s="40"/>
      <c r="O10" s="40">
        <v>497500</v>
      </c>
      <c r="P10" s="40">
        <v>259708.65</v>
      </c>
      <c r="Q10" s="40">
        <v>394664.65</v>
      </c>
      <c r="R10" s="41">
        <v>497500</v>
      </c>
      <c r="S10" s="42"/>
      <c r="T10" s="43">
        <v>526568.65</v>
      </c>
      <c r="U10" s="44"/>
    </row>
    <row r="11" spans="1:21" s="5" customFormat="1" ht="12.75">
      <c r="A11" s="34">
        <v>121</v>
      </c>
      <c r="B11" s="35"/>
      <c r="C11" s="36" t="s">
        <v>30</v>
      </c>
      <c r="D11" s="37">
        <f>D12+D14+D16</f>
        <v>163192</v>
      </c>
      <c r="E11" s="37">
        <f>0+SUM(E12,E13,E14,E15,E16)</f>
        <v>19285</v>
      </c>
      <c r="F11" s="38"/>
      <c r="G11" s="37">
        <f>SUM(G12,G13,G14,G15,G16)</f>
        <v>42244</v>
      </c>
      <c r="H11" s="37"/>
      <c r="I11" s="37">
        <f>I12+I13+I14+I15+I16</f>
        <v>67302</v>
      </c>
      <c r="J11" s="37"/>
      <c r="K11" s="39">
        <f>SUM(K12,K14,K16)</f>
        <v>149954</v>
      </c>
      <c r="L11" s="41">
        <f>SUM(L12,L14,L16)</f>
        <v>166192</v>
      </c>
      <c r="M11" s="40">
        <f>M12+M14+M16</f>
        <v>12488.050000000001</v>
      </c>
      <c r="N11" s="40"/>
      <c r="O11" s="40">
        <f>SUM(O12,O14,O16)</f>
        <v>166192</v>
      </c>
      <c r="P11" s="40">
        <f>P12+P14+P16</f>
        <v>41658.61</v>
      </c>
      <c r="Q11" s="40">
        <f>Q12+Q14+Q16</f>
        <v>67036.74</v>
      </c>
      <c r="R11" s="41">
        <f>SUM(R12,R14,R16)</f>
        <v>146481</v>
      </c>
      <c r="S11" s="41"/>
      <c r="T11" s="43">
        <f>T12+T14+T16</f>
        <v>143966.93000000002</v>
      </c>
      <c r="U11" s="44"/>
    </row>
    <row r="12" spans="1:21" s="5" customFormat="1" ht="12.75">
      <c r="A12" s="45">
        <v>121</v>
      </c>
      <c r="B12" s="46" t="s">
        <v>31</v>
      </c>
      <c r="C12" s="47" t="s">
        <v>32</v>
      </c>
      <c r="D12" s="48">
        <v>139422</v>
      </c>
      <c r="E12" s="48">
        <v>10884</v>
      </c>
      <c r="F12" s="48"/>
      <c r="G12" s="48">
        <v>24256</v>
      </c>
      <c r="H12" s="49"/>
      <c r="I12" s="48">
        <v>45660</v>
      </c>
      <c r="J12" s="48"/>
      <c r="K12" s="50">
        <v>125963</v>
      </c>
      <c r="L12" s="856">
        <v>139422</v>
      </c>
      <c r="M12" s="100">
        <v>7002.46</v>
      </c>
      <c r="N12" s="52"/>
      <c r="O12" s="52">
        <v>139422</v>
      </c>
      <c r="P12" s="52">
        <v>26090.37</v>
      </c>
      <c r="Q12" s="52">
        <v>49281.4</v>
      </c>
      <c r="R12" s="53">
        <f>O12-S12</f>
        <v>122722</v>
      </c>
      <c r="S12" s="54">
        <v>16700</v>
      </c>
      <c r="T12" s="55">
        <v>121619.8</v>
      </c>
      <c r="U12" s="44"/>
    </row>
    <row r="13" spans="1:21" ht="12.75">
      <c r="A13" s="45">
        <v>121</v>
      </c>
      <c r="B13" s="46" t="s">
        <v>31</v>
      </c>
      <c r="C13" s="47" t="s">
        <v>33</v>
      </c>
      <c r="D13" s="48"/>
      <c r="E13" s="48">
        <v>1752</v>
      </c>
      <c r="F13" s="48"/>
      <c r="G13" s="48">
        <v>3635</v>
      </c>
      <c r="H13" s="49"/>
      <c r="I13" s="48">
        <v>3880</v>
      </c>
      <c r="J13" s="48"/>
      <c r="K13" s="56">
        <v>4786</v>
      </c>
      <c r="L13" s="1038">
        <v>17000</v>
      </c>
      <c r="M13" s="57">
        <v>1653.25</v>
      </c>
      <c r="N13" s="100"/>
      <c r="O13" s="57">
        <v>17000</v>
      </c>
      <c r="P13" s="57">
        <v>1855.61</v>
      </c>
      <c r="Q13" s="57">
        <v>1983.67</v>
      </c>
      <c r="R13" s="58">
        <v>17000</v>
      </c>
      <c r="S13" s="59">
        <v>14700</v>
      </c>
      <c r="T13" s="60">
        <v>20368.33</v>
      </c>
      <c r="U13" s="61"/>
    </row>
    <row r="14" spans="1:21" ht="12.75">
      <c r="A14" s="45">
        <v>121</v>
      </c>
      <c r="B14" s="46" t="s">
        <v>34</v>
      </c>
      <c r="C14" s="47" t="s">
        <v>35</v>
      </c>
      <c r="D14" s="62">
        <v>23511</v>
      </c>
      <c r="E14" s="62">
        <v>5172</v>
      </c>
      <c r="F14" s="63"/>
      <c r="G14" s="62">
        <v>12033</v>
      </c>
      <c r="H14" s="64"/>
      <c r="I14" s="63">
        <v>15270</v>
      </c>
      <c r="J14" s="63"/>
      <c r="K14" s="65">
        <v>23691</v>
      </c>
      <c r="L14" s="92">
        <v>26511</v>
      </c>
      <c r="M14" s="66">
        <v>5337.72</v>
      </c>
      <c r="N14" s="66"/>
      <c r="O14" s="66">
        <v>26511</v>
      </c>
      <c r="P14" s="66">
        <v>15313.37</v>
      </c>
      <c r="Q14" s="66">
        <v>17500.29</v>
      </c>
      <c r="R14" s="53">
        <f>O14-S14</f>
        <v>23500</v>
      </c>
      <c r="S14" s="54">
        <v>3011</v>
      </c>
      <c r="T14" s="67">
        <v>22071.4</v>
      </c>
      <c r="U14" s="61"/>
    </row>
    <row r="15" spans="1:21" ht="12.75">
      <c r="A15" s="45">
        <v>121</v>
      </c>
      <c r="B15" s="46" t="s">
        <v>34</v>
      </c>
      <c r="C15" s="47" t="s">
        <v>36</v>
      </c>
      <c r="D15" s="62"/>
      <c r="E15" s="62">
        <v>1350</v>
      </c>
      <c r="F15" s="63"/>
      <c r="G15" s="62">
        <v>2054</v>
      </c>
      <c r="H15" s="64"/>
      <c r="I15" s="63">
        <v>2209</v>
      </c>
      <c r="J15" s="63"/>
      <c r="K15" s="68">
        <v>2944</v>
      </c>
      <c r="L15" s="92">
        <v>3000</v>
      </c>
      <c r="M15" s="70">
        <v>585.82</v>
      </c>
      <c r="N15" s="66"/>
      <c r="O15" s="70">
        <v>3000</v>
      </c>
      <c r="P15" s="70">
        <v>968.62</v>
      </c>
      <c r="Q15" s="70">
        <v>1327.27</v>
      </c>
      <c r="R15" s="58">
        <v>3000</v>
      </c>
      <c r="S15" s="59">
        <v>1000</v>
      </c>
      <c r="T15" s="71">
        <v>1697.25</v>
      </c>
      <c r="U15" s="61"/>
    </row>
    <row r="16" spans="1:21" ht="12.75">
      <c r="A16" s="45">
        <v>121</v>
      </c>
      <c r="B16" s="46" t="s">
        <v>28</v>
      </c>
      <c r="C16" s="47" t="s">
        <v>37</v>
      </c>
      <c r="D16" s="62">
        <v>259</v>
      </c>
      <c r="E16" s="62">
        <v>127</v>
      </c>
      <c r="F16" s="63"/>
      <c r="G16" s="62">
        <v>266</v>
      </c>
      <c r="H16" s="64"/>
      <c r="I16" s="63">
        <v>283</v>
      </c>
      <c r="J16" s="63"/>
      <c r="K16" s="65">
        <v>300</v>
      </c>
      <c r="L16" s="92">
        <v>259</v>
      </c>
      <c r="M16" s="66">
        <v>147.87</v>
      </c>
      <c r="N16" s="66"/>
      <c r="O16" s="66">
        <v>259</v>
      </c>
      <c r="P16" s="66">
        <v>254.87</v>
      </c>
      <c r="Q16" s="66">
        <v>255.05</v>
      </c>
      <c r="R16" s="53">
        <v>259</v>
      </c>
      <c r="S16" s="53"/>
      <c r="T16" s="67">
        <v>275.73</v>
      </c>
      <c r="U16" s="61"/>
    </row>
    <row r="17" spans="1:20" ht="12.75">
      <c r="A17" s="72"/>
      <c r="B17" s="72"/>
      <c r="C17" s="72"/>
      <c r="D17" s="73"/>
      <c r="E17" s="73"/>
      <c r="F17" s="74"/>
      <c r="G17" s="73"/>
      <c r="H17" s="75"/>
      <c r="I17" s="74"/>
      <c r="J17" s="74"/>
      <c r="K17" s="76"/>
      <c r="L17" s="78"/>
      <c r="M17" s="78"/>
      <c r="N17" s="190"/>
      <c r="O17" s="78"/>
      <c r="P17" s="78"/>
      <c r="Q17" s="78"/>
      <c r="R17" s="78"/>
      <c r="S17" s="79"/>
      <c r="T17" s="78"/>
    </row>
    <row r="18" spans="1:21" s="89" customFormat="1" ht="12.75">
      <c r="A18" s="80" t="s">
        <v>38</v>
      </c>
      <c r="B18" s="81"/>
      <c r="C18" s="82"/>
      <c r="D18" s="83">
        <f>SUM(D19,D20,D21,D22,D23,D24,D25)</f>
        <v>76401</v>
      </c>
      <c r="E18" s="83">
        <f>SUM(E19,E20,E21,E22,E23,E24,E25)</f>
        <v>25163</v>
      </c>
      <c r="F18" s="84">
        <v>32.94</v>
      </c>
      <c r="G18" s="83">
        <f>SUM(G19,G20,G21,G22,G23,G24,G25)</f>
        <v>35381</v>
      </c>
      <c r="H18" s="84">
        <v>46.31</v>
      </c>
      <c r="I18" s="83">
        <f>I19+I20+I21+I22+I23+I24+I25</f>
        <v>43774</v>
      </c>
      <c r="J18" s="84">
        <v>57.3</v>
      </c>
      <c r="K18" s="85">
        <f>SUM(K19,K21,K22,K23,K25)</f>
        <v>56821</v>
      </c>
      <c r="L18" s="86">
        <f>SUM(L19,L21,L22,L23,L25)</f>
        <v>87937</v>
      </c>
      <c r="M18" s="84">
        <f>M19+M21+M22+M23+M25</f>
        <v>37331.380000000005</v>
      </c>
      <c r="N18" s="1527">
        <v>11785</v>
      </c>
      <c r="O18" s="86">
        <f>SUM(O19,O21,O22,O23,O25)</f>
        <v>99722</v>
      </c>
      <c r="P18" s="86">
        <f>P19+P21+P22+P23+P25</f>
        <v>59077.479999999996</v>
      </c>
      <c r="Q18" s="86">
        <f>Q19+Q21+Q22+Q23+Q25</f>
        <v>67736.68</v>
      </c>
      <c r="R18" s="86">
        <f>R19+R21+R22+R23+R25</f>
        <v>77045.92</v>
      </c>
      <c r="S18" s="87">
        <f>S23-S25</f>
        <v>22676.08</v>
      </c>
      <c r="T18" s="88">
        <f>T19+T21+T22+T23+T25</f>
        <v>77109.20999999999</v>
      </c>
      <c r="U18" s="1230">
        <f>T18/R18*100</f>
        <v>100.08214581641701</v>
      </c>
    </row>
    <row r="19" spans="1:21" ht="12.75">
      <c r="A19" s="34">
        <v>133</v>
      </c>
      <c r="B19" s="35" t="s">
        <v>31</v>
      </c>
      <c r="C19" s="36" t="s">
        <v>39</v>
      </c>
      <c r="D19" s="63">
        <v>2214</v>
      </c>
      <c r="E19" s="63">
        <v>1669</v>
      </c>
      <c r="F19" s="63"/>
      <c r="G19" s="63">
        <v>2089</v>
      </c>
      <c r="H19" s="90"/>
      <c r="I19" s="63">
        <v>2201</v>
      </c>
      <c r="J19" s="63"/>
      <c r="K19" s="91">
        <v>2748</v>
      </c>
      <c r="L19" s="92">
        <v>2450</v>
      </c>
      <c r="M19" s="66">
        <v>1719.17</v>
      </c>
      <c r="N19" s="66"/>
      <c r="O19" s="66">
        <v>2450</v>
      </c>
      <c r="P19" s="66">
        <v>2223.6</v>
      </c>
      <c r="Q19" s="66">
        <v>2372.72</v>
      </c>
      <c r="R19" s="92">
        <v>2450</v>
      </c>
      <c r="S19" s="92"/>
      <c r="T19" s="67">
        <v>2631.73</v>
      </c>
      <c r="U19" s="61"/>
    </row>
    <row r="20" spans="1:21" ht="12.75">
      <c r="A20" s="34">
        <v>133</v>
      </c>
      <c r="B20" s="35" t="s">
        <v>31</v>
      </c>
      <c r="C20" s="36" t="s">
        <v>40</v>
      </c>
      <c r="D20" s="63"/>
      <c r="E20" s="63">
        <v>75</v>
      </c>
      <c r="F20" s="63"/>
      <c r="G20" s="63">
        <v>140</v>
      </c>
      <c r="H20" s="90"/>
      <c r="I20" s="63">
        <v>199</v>
      </c>
      <c r="J20" s="63"/>
      <c r="K20" s="93">
        <v>321</v>
      </c>
      <c r="L20" s="92">
        <v>250</v>
      </c>
      <c r="M20" s="70">
        <v>44.75</v>
      </c>
      <c r="N20" s="66"/>
      <c r="O20" s="70">
        <v>250</v>
      </c>
      <c r="P20" s="70">
        <v>104.39</v>
      </c>
      <c r="Q20" s="70">
        <v>119.31</v>
      </c>
      <c r="R20" s="70">
        <v>250</v>
      </c>
      <c r="S20" s="92"/>
      <c r="T20" s="71">
        <v>161.55</v>
      </c>
      <c r="U20" s="61"/>
    </row>
    <row r="21" spans="1:21" ht="12.75">
      <c r="A21" s="45">
        <v>133</v>
      </c>
      <c r="B21" s="35" t="s">
        <v>28</v>
      </c>
      <c r="C21" s="36" t="s">
        <v>41</v>
      </c>
      <c r="D21" s="63">
        <v>450</v>
      </c>
      <c r="E21" s="63">
        <v>0</v>
      </c>
      <c r="F21" s="63"/>
      <c r="G21" s="63">
        <v>0</v>
      </c>
      <c r="H21" s="90"/>
      <c r="I21" s="63">
        <v>0</v>
      </c>
      <c r="J21" s="63"/>
      <c r="K21" s="91">
        <v>0</v>
      </c>
      <c r="L21" s="92">
        <v>0</v>
      </c>
      <c r="M21" s="66">
        <v>0</v>
      </c>
      <c r="N21" s="66"/>
      <c r="O21" s="66">
        <v>0</v>
      </c>
      <c r="P21" s="66"/>
      <c r="Q21" s="66">
        <v>0</v>
      </c>
      <c r="R21" s="92">
        <v>0</v>
      </c>
      <c r="S21" s="92"/>
      <c r="T21" s="67">
        <v>0</v>
      </c>
      <c r="U21" s="61"/>
    </row>
    <row r="22" spans="1:21" ht="12.75">
      <c r="A22" s="45">
        <v>133</v>
      </c>
      <c r="B22" s="35" t="s">
        <v>42</v>
      </c>
      <c r="C22" s="36" t="s">
        <v>43</v>
      </c>
      <c r="D22" s="63">
        <v>1200</v>
      </c>
      <c r="E22" s="63">
        <v>229</v>
      </c>
      <c r="F22" s="63"/>
      <c r="G22" s="63">
        <v>595</v>
      </c>
      <c r="H22" s="90"/>
      <c r="I22" s="63">
        <v>1200</v>
      </c>
      <c r="J22" s="63"/>
      <c r="K22" s="91">
        <v>1428</v>
      </c>
      <c r="L22" s="92">
        <v>1450</v>
      </c>
      <c r="M22" s="66">
        <v>201.7</v>
      </c>
      <c r="N22" s="66"/>
      <c r="O22" s="66">
        <v>1450</v>
      </c>
      <c r="P22" s="66">
        <v>620.67</v>
      </c>
      <c r="Q22" s="66">
        <v>866.43</v>
      </c>
      <c r="R22" s="92">
        <v>1450</v>
      </c>
      <c r="S22" s="92"/>
      <c r="T22" s="67">
        <v>1075.18</v>
      </c>
      <c r="U22" s="94"/>
    </row>
    <row r="23" spans="1:21" ht="12.75">
      <c r="A23" s="45">
        <v>133</v>
      </c>
      <c r="B23" s="35" t="s">
        <v>44</v>
      </c>
      <c r="C23" s="36" t="s">
        <v>45</v>
      </c>
      <c r="D23" s="63">
        <v>58037</v>
      </c>
      <c r="E23" s="63">
        <v>7089</v>
      </c>
      <c r="F23" s="63"/>
      <c r="G23" s="63">
        <v>14673</v>
      </c>
      <c r="H23" s="90"/>
      <c r="I23" s="63">
        <v>21895</v>
      </c>
      <c r="J23" s="63"/>
      <c r="K23" s="91">
        <v>38068</v>
      </c>
      <c r="L23" s="92">
        <v>58037</v>
      </c>
      <c r="M23" s="66">
        <v>9049.18</v>
      </c>
      <c r="N23" s="66"/>
      <c r="O23" s="66">
        <v>58037</v>
      </c>
      <c r="P23" s="66">
        <v>18087.29</v>
      </c>
      <c r="Q23" s="66">
        <v>26351.61</v>
      </c>
      <c r="R23" s="92">
        <v>35000</v>
      </c>
      <c r="S23" s="95">
        <v>23037</v>
      </c>
      <c r="T23" s="67">
        <v>35256.38</v>
      </c>
      <c r="U23" s="61"/>
    </row>
    <row r="24" spans="1:21" ht="12.75">
      <c r="A24" s="45">
        <v>133</v>
      </c>
      <c r="B24" s="35" t="s">
        <v>44</v>
      </c>
      <c r="C24" s="36" t="s">
        <v>46</v>
      </c>
      <c r="D24" s="63"/>
      <c r="E24" s="63">
        <v>1524</v>
      </c>
      <c r="F24" s="63"/>
      <c r="G24" s="63">
        <v>3307</v>
      </c>
      <c r="H24" s="90"/>
      <c r="I24" s="63">
        <v>3702</v>
      </c>
      <c r="J24" s="63"/>
      <c r="K24" s="93">
        <v>5884</v>
      </c>
      <c r="L24" s="92">
        <v>17000</v>
      </c>
      <c r="M24" s="70">
        <v>1507.32</v>
      </c>
      <c r="N24" s="66"/>
      <c r="O24" s="70">
        <v>17000</v>
      </c>
      <c r="P24" s="70">
        <v>2590.28</v>
      </c>
      <c r="Q24" s="70">
        <v>3462</v>
      </c>
      <c r="R24" s="70">
        <v>4000</v>
      </c>
      <c r="S24" s="92"/>
      <c r="T24" s="71">
        <v>4139.38</v>
      </c>
      <c r="U24" s="61"/>
    </row>
    <row r="25" spans="1:21" ht="12.75">
      <c r="A25" s="96">
        <v>133</v>
      </c>
      <c r="B25" s="97" t="s">
        <v>47</v>
      </c>
      <c r="C25" s="98" t="s">
        <v>48</v>
      </c>
      <c r="D25" s="48">
        <v>14500</v>
      </c>
      <c r="E25" s="48">
        <v>14577</v>
      </c>
      <c r="F25" s="48"/>
      <c r="G25" s="48">
        <v>14577</v>
      </c>
      <c r="H25" s="49"/>
      <c r="I25" s="48">
        <v>14577</v>
      </c>
      <c r="J25" s="48"/>
      <c r="K25" s="99">
        <v>14577</v>
      </c>
      <c r="L25" s="1038">
        <v>26000</v>
      </c>
      <c r="M25" s="100">
        <v>26361.33</v>
      </c>
      <c r="N25" s="1528">
        <v>11784.59</v>
      </c>
      <c r="O25" s="100">
        <v>37785</v>
      </c>
      <c r="P25" s="100">
        <v>38145.92</v>
      </c>
      <c r="Q25" s="100">
        <v>38145.92</v>
      </c>
      <c r="R25" s="92">
        <v>38145.92</v>
      </c>
      <c r="S25" s="101">
        <v>360.92</v>
      </c>
      <c r="T25" s="102">
        <v>38145.92</v>
      </c>
      <c r="U25" s="61"/>
    </row>
    <row r="26" spans="1:21" ht="12.75">
      <c r="A26" s="1592" t="s">
        <v>49</v>
      </c>
      <c r="B26" s="1592"/>
      <c r="C26" s="1592"/>
      <c r="D26" s="103">
        <f>SUM(D9,D18)</f>
        <v>724593</v>
      </c>
      <c r="E26" s="103">
        <f>SUM(E9,E18)</f>
        <v>198833</v>
      </c>
      <c r="F26" s="104">
        <v>27.44</v>
      </c>
      <c r="G26" s="103">
        <f>SUM(G9,G18)</f>
        <v>322412</v>
      </c>
      <c r="H26" s="104">
        <v>44.5</v>
      </c>
      <c r="I26" s="103">
        <f>SUM(I9,I18)</f>
        <v>494131</v>
      </c>
      <c r="J26" s="104">
        <v>68.19</v>
      </c>
      <c r="K26" s="105">
        <f>SUM(K9,K18)</f>
        <v>729612</v>
      </c>
      <c r="L26" s="106">
        <f>SUM(L9,L18)</f>
        <v>751629</v>
      </c>
      <c r="M26" s="104">
        <f>M9+M18</f>
        <v>203862.08</v>
      </c>
      <c r="N26" s="1529">
        <v>11784.59</v>
      </c>
      <c r="O26" s="106">
        <f>SUM(O9,O18)</f>
        <v>763414</v>
      </c>
      <c r="P26" s="106">
        <f>P9+P18</f>
        <v>360444.74</v>
      </c>
      <c r="Q26" s="106">
        <f>Q18+Q9</f>
        <v>529438.0700000001</v>
      </c>
      <c r="R26" s="106">
        <f>SUM(R9,R18)</f>
        <v>721026.92</v>
      </c>
      <c r="S26" s="107">
        <f>S9+S18</f>
        <v>42387.08</v>
      </c>
      <c r="T26" s="108">
        <f>T18+T9</f>
        <v>747644.79</v>
      </c>
      <c r="U26" s="1006">
        <f>T26/R26*100</f>
        <v>103.6916610547634</v>
      </c>
    </row>
    <row r="27" spans="1:20" ht="12.75">
      <c r="A27" s="72"/>
      <c r="B27" s="110"/>
      <c r="C27" s="110"/>
      <c r="D27" s="111"/>
      <c r="E27" s="111"/>
      <c r="F27" s="77"/>
      <c r="G27" s="111"/>
      <c r="H27" s="111"/>
      <c r="I27" s="77"/>
      <c r="J27" s="77"/>
      <c r="K27" s="76"/>
      <c r="L27" s="76"/>
      <c r="M27" s="76"/>
      <c r="N27" s="74"/>
      <c r="O27" s="76"/>
      <c r="P27" s="76"/>
      <c r="Q27" s="76"/>
      <c r="R27" s="76"/>
      <c r="T27" s="76"/>
    </row>
    <row r="28" spans="1:20" ht="12.75" hidden="1">
      <c r="A28" s="72"/>
      <c r="B28" s="110"/>
      <c r="C28" s="110"/>
      <c r="D28" s="111"/>
      <c r="E28" s="111"/>
      <c r="F28" s="77"/>
      <c r="G28" s="111"/>
      <c r="H28" s="111"/>
      <c r="I28" s="77"/>
      <c r="J28" s="77"/>
      <c r="K28" s="76"/>
      <c r="L28" s="76"/>
      <c r="M28" s="76"/>
      <c r="N28" s="74"/>
      <c r="O28" s="76"/>
      <c r="P28" s="76"/>
      <c r="Q28" s="76"/>
      <c r="R28" s="76"/>
      <c r="T28" s="76"/>
    </row>
    <row r="29" spans="1:20" ht="12.75" hidden="1">
      <c r="A29" s="72"/>
      <c r="B29" s="110"/>
      <c r="C29" s="110"/>
      <c r="D29" s="111"/>
      <c r="E29" s="111"/>
      <c r="F29" s="77"/>
      <c r="G29" s="111"/>
      <c r="H29" s="111"/>
      <c r="I29" s="77"/>
      <c r="J29" s="77"/>
      <c r="K29" s="76"/>
      <c r="L29" s="76"/>
      <c r="M29" s="76"/>
      <c r="N29" s="74"/>
      <c r="O29" s="76"/>
      <c r="P29" s="76"/>
      <c r="Q29" s="76"/>
      <c r="R29" s="76"/>
      <c r="T29" s="76"/>
    </row>
    <row r="30" spans="1:20" ht="12.75" hidden="1">
      <c r="A30" s="72"/>
      <c r="B30" s="110"/>
      <c r="C30" s="110"/>
      <c r="D30" s="111"/>
      <c r="E30" s="111"/>
      <c r="F30" s="77"/>
      <c r="G30" s="111"/>
      <c r="H30" s="111"/>
      <c r="I30" s="77"/>
      <c r="J30" s="77"/>
      <c r="K30" s="76"/>
      <c r="L30" s="76"/>
      <c r="M30" s="76"/>
      <c r="N30" s="74"/>
      <c r="O30" s="76"/>
      <c r="P30" s="76"/>
      <c r="Q30" s="76"/>
      <c r="R30" s="76"/>
      <c r="T30" s="76"/>
    </row>
    <row r="31" spans="1:20" ht="12.75" hidden="1">
      <c r="A31" s="72"/>
      <c r="B31" s="110"/>
      <c r="C31" s="110"/>
      <c r="D31" s="111"/>
      <c r="E31" s="111"/>
      <c r="F31" s="77"/>
      <c r="G31" s="111"/>
      <c r="H31" s="111"/>
      <c r="I31" s="77"/>
      <c r="J31" s="77"/>
      <c r="K31" s="76"/>
      <c r="L31" s="76"/>
      <c r="M31" s="76"/>
      <c r="N31" s="74"/>
      <c r="O31" s="76"/>
      <c r="P31" s="76"/>
      <c r="Q31" s="76"/>
      <c r="R31" s="76"/>
      <c r="T31" s="76"/>
    </row>
    <row r="32" spans="1:20" ht="12.75" hidden="1">
      <c r="A32" s="72"/>
      <c r="B32" s="110"/>
      <c r="C32" s="110"/>
      <c r="D32" s="111"/>
      <c r="E32" s="111"/>
      <c r="F32" s="77"/>
      <c r="G32" s="111"/>
      <c r="H32" s="111"/>
      <c r="I32" s="77"/>
      <c r="J32" s="77"/>
      <c r="K32" s="76"/>
      <c r="L32" s="76"/>
      <c r="M32" s="76"/>
      <c r="N32" s="74"/>
      <c r="O32" s="76"/>
      <c r="P32" s="76"/>
      <c r="Q32" s="76"/>
      <c r="R32" s="76"/>
      <c r="T32" s="76"/>
    </row>
    <row r="33" spans="1:20" ht="12.75" hidden="1">
      <c r="A33" s="72"/>
      <c r="B33" s="110"/>
      <c r="C33" s="110"/>
      <c r="D33" s="111"/>
      <c r="E33" s="111"/>
      <c r="F33" s="77"/>
      <c r="G33" s="111"/>
      <c r="H33" s="111"/>
      <c r="I33" s="77"/>
      <c r="J33" s="77"/>
      <c r="K33" s="76"/>
      <c r="L33" s="76"/>
      <c r="M33" s="76"/>
      <c r="N33" s="74"/>
      <c r="O33" s="76"/>
      <c r="P33" s="76"/>
      <c r="Q33" s="76"/>
      <c r="R33" s="76"/>
      <c r="T33" s="76"/>
    </row>
    <row r="34" spans="1:20" ht="12.75" hidden="1">
      <c r="A34" s="72"/>
      <c r="B34" s="110"/>
      <c r="C34" s="110"/>
      <c r="D34" s="111"/>
      <c r="E34" s="111"/>
      <c r="F34" s="77"/>
      <c r="G34" s="111"/>
      <c r="H34" s="111"/>
      <c r="I34" s="77"/>
      <c r="J34" s="77"/>
      <c r="K34" s="76"/>
      <c r="L34" s="76"/>
      <c r="M34" s="76"/>
      <c r="N34" s="74"/>
      <c r="O34" s="76"/>
      <c r="P34" s="76"/>
      <c r="Q34" s="76"/>
      <c r="R34" s="76"/>
      <c r="T34" s="76"/>
    </row>
    <row r="35" spans="1:20" ht="12.75" hidden="1">
      <c r="A35" s="72"/>
      <c r="B35" s="110"/>
      <c r="C35" s="110"/>
      <c r="D35" s="111"/>
      <c r="E35" s="111"/>
      <c r="F35" s="77"/>
      <c r="G35" s="111"/>
      <c r="H35" s="111"/>
      <c r="I35" s="77"/>
      <c r="J35" s="77"/>
      <c r="K35" s="76"/>
      <c r="L35" s="76"/>
      <c r="M35" s="76"/>
      <c r="N35" s="74"/>
      <c r="O35" s="76"/>
      <c r="P35" s="76"/>
      <c r="Q35" s="76"/>
      <c r="R35" s="76"/>
      <c r="T35" s="76"/>
    </row>
    <row r="36" spans="1:20" ht="12.75" hidden="1">
      <c r="A36" s="72"/>
      <c r="B36" s="110"/>
      <c r="C36" s="110"/>
      <c r="D36" s="111"/>
      <c r="E36" s="111"/>
      <c r="F36" s="77"/>
      <c r="G36" s="111"/>
      <c r="H36" s="111"/>
      <c r="I36" s="77"/>
      <c r="J36" s="77"/>
      <c r="K36" s="76"/>
      <c r="L36" s="76"/>
      <c r="M36" s="76"/>
      <c r="N36" s="74"/>
      <c r="O36" s="76"/>
      <c r="P36" s="76"/>
      <c r="Q36" s="76"/>
      <c r="R36" s="76"/>
      <c r="T36" s="76"/>
    </row>
    <row r="37" spans="1:20" ht="12.75" hidden="1">
      <c r="A37" s="72"/>
      <c r="B37" s="110"/>
      <c r="C37" s="110"/>
      <c r="D37" s="111"/>
      <c r="E37" s="111"/>
      <c r="F37" s="77"/>
      <c r="G37" s="111"/>
      <c r="H37" s="111"/>
      <c r="I37" s="77"/>
      <c r="J37" s="77"/>
      <c r="K37" s="76"/>
      <c r="L37" s="76"/>
      <c r="M37" s="76"/>
      <c r="N37" s="74"/>
      <c r="O37" s="76"/>
      <c r="P37" s="76"/>
      <c r="Q37" s="76"/>
      <c r="R37" s="76"/>
      <c r="T37" s="76"/>
    </row>
    <row r="38" spans="1:20" ht="12.75" hidden="1">
      <c r="A38" s="72"/>
      <c r="B38" s="110"/>
      <c r="C38" s="110"/>
      <c r="D38" s="111"/>
      <c r="E38" s="111"/>
      <c r="F38" s="77"/>
      <c r="G38" s="111"/>
      <c r="H38" s="111"/>
      <c r="I38" s="77"/>
      <c r="J38" s="77"/>
      <c r="K38" s="76"/>
      <c r="L38" s="76"/>
      <c r="M38" s="76"/>
      <c r="N38" s="74"/>
      <c r="O38" s="76"/>
      <c r="P38" s="76"/>
      <c r="Q38" s="76"/>
      <c r="R38" s="76"/>
      <c r="T38" s="76"/>
    </row>
    <row r="39" spans="1:20" ht="12.75" hidden="1">
      <c r="A39" s="72"/>
      <c r="B39" s="110"/>
      <c r="C39" s="110"/>
      <c r="D39" s="111"/>
      <c r="E39" s="111"/>
      <c r="F39" s="77"/>
      <c r="G39" s="111"/>
      <c r="H39" s="111"/>
      <c r="I39" s="77"/>
      <c r="J39" s="77"/>
      <c r="K39" s="76"/>
      <c r="L39" s="76"/>
      <c r="M39" s="76"/>
      <c r="N39" s="74"/>
      <c r="O39" s="76"/>
      <c r="P39" s="76"/>
      <c r="Q39" s="76"/>
      <c r="R39" s="76"/>
      <c r="T39" s="76"/>
    </row>
    <row r="40" spans="1:20" ht="12.75" hidden="1">
      <c r="A40" s="72"/>
      <c r="B40" s="110"/>
      <c r="C40" s="110"/>
      <c r="D40" s="111"/>
      <c r="E40" s="111"/>
      <c r="F40" s="77"/>
      <c r="G40" s="111"/>
      <c r="H40" s="111"/>
      <c r="I40" s="77"/>
      <c r="J40" s="77"/>
      <c r="K40" s="76"/>
      <c r="L40" s="76"/>
      <c r="M40" s="76"/>
      <c r="N40" s="74"/>
      <c r="O40" s="76"/>
      <c r="P40" s="76"/>
      <c r="Q40" s="76"/>
      <c r="R40" s="76"/>
      <c r="T40" s="76"/>
    </row>
    <row r="41" spans="1:19" ht="15.75">
      <c r="A41" s="72"/>
      <c r="B41" s="110"/>
      <c r="C41" s="110"/>
      <c r="D41" s="111"/>
      <c r="E41" s="111"/>
      <c r="F41" s="77"/>
      <c r="G41" s="111"/>
      <c r="H41" s="111"/>
      <c r="I41" s="77"/>
      <c r="J41" s="77"/>
      <c r="K41" s="1591" t="s">
        <v>50</v>
      </c>
      <c r="L41" s="1591"/>
      <c r="M41" s="1591"/>
      <c r="N41" s="1591"/>
      <c r="O41" s="1591"/>
      <c r="P41" s="1591"/>
      <c r="Q41" s="1591"/>
      <c r="R41" s="1591"/>
      <c r="S41" s="112"/>
    </row>
    <row r="42" spans="1:20" ht="15.75">
      <c r="A42" s="72"/>
      <c r="B42" s="110"/>
      <c r="C42" s="110"/>
      <c r="D42" s="111"/>
      <c r="E42" s="111"/>
      <c r="F42" s="77"/>
      <c r="G42" s="111"/>
      <c r="H42" s="111"/>
      <c r="I42" s="77"/>
      <c r="J42" s="77"/>
      <c r="K42" s="11"/>
      <c r="L42" s="11"/>
      <c r="M42" s="11"/>
      <c r="N42" s="12"/>
      <c r="O42" s="11"/>
      <c r="P42" s="11"/>
      <c r="Q42" s="11"/>
      <c r="R42" s="11"/>
      <c r="S42" s="112"/>
      <c r="T42" s="11"/>
    </row>
    <row r="43" spans="1:21" s="5" customFormat="1" ht="39.75" customHeight="1">
      <c r="A43" s="13" t="s">
        <v>11</v>
      </c>
      <c r="B43" s="14"/>
      <c r="C43" s="15"/>
      <c r="D43" s="16" t="s">
        <v>13</v>
      </c>
      <c r="E43" s="16" t="s">
        <v>14</v>
      </c>
      <c r="F43" s="17" t="s">
        <v>15</v>
      </c>
      <c r="G43" s="16" t="s">
        <v>16</v>
      </c>
      <c r="H43" s="17" t="s">
        <v>15</v>
      </c>
      <c r="I43" s="16" t="s">
        <v>17</v>
      </c>
      <c r="J43" s="17" t="s">
        <v>15</v>
      </c>
      <c r="K43" s="16" t="s">
        <v>18</v>
      </c>
      <c r="L43" s="18">
        <v>2012</v>
      </c>
      <c r="M43" s="16" t="s">
        <v>19</v>
      </c>
      <c r="N43" s="19" t="s">
        <v>20</v>
      </c>
      <c r="O43" s="20" t="s">
        <v>21</v>
      </c>
      <c r="P43" s="21" t="s">
        <v>22</v>
      </c>
      <c r="Q43" s="21" t="s">
        <v>23</v>
      </c>
      <c r="R43" s="20" t="s">
        <v>24</v>
      </c>
      <c r="S43" s="19" t="s">
        <v>25</v>
      </c>
      <c r="T43" s="22" t="s">
        <v>26</v>
      </c>
      <c r="U43" s="113" t="s">
        <v>15</v>
      </c>
    </row>
    <row r="44" spans="1:21" s="33" customFormat="1" ht="12.75">
      <c r="A44" s="80" t="s">
        <v>51</v>
      </c>
      <c r="B44" s="81"/>
      <c r="C44" s="82"/>
      <c r="D44" s="83">
        <f>D45+D46+D47+D48+D49</f>
        <v>47000</v>
      </c>
      <c r="E44" s="83">
        <f>SUM(E45,E46,E47,E48,E49)</f>
        <v>5805</v>
      </c>
      <c r="F44" s="84">
        <v>12.35</v>
      </c>
      <c r="G44" s="83">
        <f>SUM(G45,G46,G47,G48,G49)</f>
        <v>19875</v>
      </c>
      <c r="H44" s="84">
        <v>42.29</v>
      </c>
      <c r="I44" s="83">
        <f>I45+I46+I47++I48+I49</f>
        <v>27228</v>
      </c>
      <c r="J44" s="84">
        <v>57.93</v>
      </c>
      <c r="K44" s="114">
        <f>SUM(K45,K46,K47,K48,K49)</f>
        <v>35166</v>
      </c>
      <c r="L44" s="84">
        <f>SUM(L45,L46,L47,L48,L49)</f>
        <v>42000</v>
      </c>
      <c r="M44" s="84">
        <f>M45+M46+M47+M48+M49</f>
        <v>7826.94</v>
      </c>
      <c r="N44" s="1530">
        <v>3000</v>
      </c>
      <c r="O44" s="84">
        <f>SUM(O45,O46,O47,O48,O49)</f>
        <v>39000</v>
      </c>
      <c r="P44" s="84">
        <f>P45+P46+P47+P48+P49</f>
        <v>21860.54</v>
      </c>
      <c r="Q44" s="84">
        <f>SUM(Q45:Q49)</f>
        <v>28694.21</v>
      </c>
      <c r="R44" s="84">
        <f>SUM(R45,R46,R47,R48,R49)</f>
        <v>37000</v>
      </c>
      <c r="S44" s="1530">
        <f>S47-S48</f>
        <v>2000</v>
      </c>
      <c r="T44" s="115">
        <f>SUM(T45:T49)</f>
        <v>38167.49</v>
      </c>
      <c r="U44" s="1230">
        <f>T44/R44*100</f>
        <v>103.15537837837839</v>
      </c>
    </row>
    <row r="45" spans="1:21" ht="12.75">
      <c r="A45" s="45">
        <v>211</v>
      </c>
      <c r="B45" s="35" t="s">
        <v>28</v>
      </c>
      <c r="C45" s="36" t="s">
        <v>52</v>
      </c>
      <c r="D45" s="38">
        <v>0</v>
      </c>
      <c r="E45" s="38">
        <v>0</v>
      </c>
      <c r="F45" s="63"/>
      <c r="G45" s="38">
        <v>0</v>
      </c>
      <c r="H45" s="37"/>
      <c r="I45" s="63"/>
      <c r="J45" s="63"/>
      <c r="K45" s="116">
        <v>0</v>
      </c>
      <c r="L45" s="66">
        <v>0</v>
      </c>
      <c r="M45" s="66">
        <v>0</v>
      </c>
      <c r="N45" s="66"/>
      <c r="O45" s="66">
        <v>0</v>
      </c>
      <c r="P45" s="66">
        <v>0</v>
      </c>
      <c r="Q45" s="66">
        <v>0</v>
      </c>
      <c r="R45" s="66">
        <v>0</v>
      </c>
      <c r="S45" s="66"/>
      <c r="T45" s="67">
        <v>0</v>
      </c>
      <c r="U45" s="61"/>
    </row>
    <row r="46" spans="1:21" ht="12.75">
      <c r="A46" s="45">
        <v>212</v>
      </c>
      <c r="B46" s="35" t="s">
        <v>34</v>
      </c>
      <c r="C46" s="36" t="s">
        <v>53</v>
      </c>
      <c r="D46" s="38">
        <v>8000</v>
      </c>
      <c r="E46" s="38">
        <v>123</v>
      </c>
      <c r="F46" s="63"/>
      <c r="G46" s="38">
        <v>7545</v>
      </c>
      <c r="H46" s="37"/>
      <c r="I46" s="63">
        <v>7615</v>
      </c>
      <c r="J46" s="63"/>
      <c r="K46" s="116">
        <v>7704</v>
      </c>
      <c r="L46" s="66">
        <v>8000</v>
      </c>
      <c r="M46" s="66">
        <v>119.41</v>
      </c>
      <c r="N46" s="66"/>
      <c r="O46" s="66">
        <v>8000</v>
      </c>
      <c r="P46" s="66">
        <v>7384.72</v>
      </c>
      <c r="Q46" s="66">
        <v>7454.43</v>
      </c>
      <c r="R46" s="66">
        <v>8000</v>
      </c>
      <c r="S46" s="66"/>
      <c r="T46" s="67">
        <v>9359.1</v>
      </c>
      <c r="U46" s="61"/>
    </row>
    <row r="47" spans="1:21" ht="12.75">
      <c r="A47" s="45">
        <v>212</v>
      </c>
      <c r="B47" s="35" t="s">
        <v>28</v>
      </c>
      <c r="C47" s="36" t="s">
        <v>54</v>
      </c>
      <c r="D47" s="38">
        <v>23000</v>
      </c>
      <c r="E47" s="38">
        <v>3806</v>
      </c>
      <c r="F47" s="63"/>
      <c r="G47" s="38">
        <v>8033</v>
      </c>
      <c r="H47" s="37"/>
      <c r="I47" s="63">
        <v>12205</v>
      </c>
      <c r="J47" s="63"/>
      <c r="K47" s="116">
        <v>16729</v>
      </c>
      <c r="L47" s="66">
        <v>23000</v>
      </c>
      <c r="M47" s="66">
        <v>4568.53</v>
      </c>
      <c r="N47" s="1531">
        <v>3000</v>
      </c>
      <c r="O47" s="66">
        <v>20000</v>
      </c>
      <c r="P47" s="66">
        <v>8345.22</v>
      </c>
      <c r="Q47" s="66">
        <v>11778.18</v>
      </c>
      <c r="R47" s="66">
        <v>17000</v>
      </c>
      <c r="S47" s="1531">
        <v>3000</v>
      </c>
      <c r="T47" s="67">
        <v>16214.79</v>
      </c>
      <c r="U47" s="61"/>
    </row>
    <row r="48" spans="1:21" ht="12.75">
      <c r="A48" s="45">
        <v>212</v>
      </c>
      <c r="B48" s="35" t="s">
        <v>55</v>
      </c>
      <c r="C48" s="36" t="s">
        <v>56</v>
      </c>
      <c r="D48" s="38">
        <v>16000</v>
      </c>
      <c r="E48" s="38">
        <v>1876</v>
      </c>
      <c r="F48" s="63"/>
      <c r="G48" s="38">
        <v>4297</v>
      </c>
      <c r="H48" s="37"/>
      <c r="I48" s="63">
        <v>7408</v>
      </c>
      <c r="J48" s="63"/>
      <c r="K48" s="116">
        <v>10733</v>
      </c>
      <c r="L48" s="66">
        <v>11000</v>
      </c>
      <c r="M48" s="66">
        <v>3139</v>
      </c>
      <c r="N48" s="66"/>
      <c r="O48" s="66">
        <v>11000</v>
      </c>
      <c r="P48" s="66">
        <v>6130.6</v>
      </c>
      <c r="Q48" s="66">
        <v>9461.6</v>
      </c>
      <c r="R48" s="66">
        <v>12000</v>
      </c>
      <c r="S48" s="1532">
        <v>1000</v>
      </c>
      <c r="T48" s="67">
        <v>12593.6</v>
      </c>
      <c r="U48" s="61"/>
    </row>
    <row r="49" spans="1:21" ht="12.75">
      <c r="A49" s="45">
        <v>212</v>
      </c>
      <c r="B49" s="35" t="s">
        <v>55</v>
      </c>
      <c r="C49" s="36" t="s">
        <v>57</v>
      </c>
      <c r="D49" s="38">
        <v>0</v>
      </c>
      <c r="E49" s="38">
        <v>0</v>
      </c>
      <c r="F49" s="63"/>
      <c r="G49" s="38">
        <v>0</v>
      </c>
      <c r="H49" s="37"/>
      <c r="I49" s="63">
        <v>0</v>
      </c>
      <c r="J49" s="63"/>
      <c r="K49" s="116">
        <v>0</v>
      </c>
      <c r="L49" s="66"/>
      <c r="M49" s="66"/>
      <c r="N49" s="66"/>
      <c r="O49" s="66"/>
      <c r="P49" s="66">
        <v>0</v>
      </c>
      <c r="Q49" s="66">
        <v>0</v>
      </c>
      <c r="R49" s="66">
        <v>0</v>
      </c>
      <c r="S49" s="66"/>
      <c r="T49" s="67">
        <v>0</v>
      </c>
      <c r="U49" s="61"/>
    </row>
    <row r="50" spans="1:20" ht="12.75">
      <c r="A50" s="72"/>
      <c r="B50" s="110"/>
      <c r="C50" s="110"/>
      <c r="D50" s="118"/>
      <c r="E50" s="118"/>
      <c r="F50" s="74"/>
      <c r="G50" s="118"/>
      <c r="H50" s="119"/>
      <c r="I50" s="74"/>
      <c r="J50" s="74"/>
      <c r="K50" s="76"/>
      <c r="L50" s="78"/>
      <c r="M50" s="78"/>
      <c r="N50" s="78"/>
      <c r="O50" s="78"/>
      <c r="P50" s="78"/>
      <c r="Q50" s="78"/>
      <c r="R50" s="78"/>
      <c r="S50" s="79"/>
      <c r="T50" s="78"/>
    </row>
    <row r="51" spans="1:21" s="89" customFormat="1" ht="12.75">
      <c r="A51" s="80" t="s">
        <v>58</v>
      </c>
      <c r="B51" s="81"/>
      <c r="C51" s="82"/>
      <c r="D51" s="83">
        <f>D52+D53+D54+D55+D56+D59+D60+D61</f>
        <v>51500</v>
      </c>
      <c r="E51" s="83">
        <f>SUM(E52,E53,E54,E55,E56,E57,E59,E60,E61)</f>
        <v>12160</v>
      </c>
      <c r="F51" s="84">
        <v>23.61</v>
      </c>
      <c r="G51" s="83">
        <f>SUM(G52,G53,G54,G55,G56,G57,G59,G60,G61)</f>
        <v>37920</v>
      </c>
      <c r="H51" s="84">
        <v>63.29</v>
      </c>
      <c r="I51" s="83">
        <f>I52+I53+I54+I55+I56+I59+I60+I61+I57</f>
        <v>35782</v>
      </c>
      <c r="J51" s="84">
        <v>69.48</v>
      </c>
      <c r="K51" s="121">
        <f>SUM(K52,K53,K54,K55,K56,K57,K59,K60,K61)</f>
        <v>68192</v>
      </c>
      <c r="L51" s="84">
        <f>SUM(L52,L53,L54,L55,L56,L57,L59,L60,L61)</f>
        <v>53179</v>
      </c>
      <c r="M51" s="84">
        <f>M52+M53+M54+M55+M56+M57+M59+M60+M61</f>
        <v>19824.6</v>
      </c>
      <c r="N51" s="1527">
        <v>11000</v>
      </c>
      <c r="O51" s="84">
        <f>SUM(O52,O53,O54,O55,O56,O57,O59,O60,O61)</f>
        <v>64179</v>
      </c>
      <c r="P51" s="84">
        <f>P52+P53+P54+P55+P56+P57+P58+P59+P60+P61</f>
        <v>37026.649999999994</v>
      </c>
      <c r="Q51" s="84">
        <f>SUM(Q52:Q61)</f>
        <v>47956.89</v>
      </c>
      <c r="R51" s="84">
        <f>SUM(R52,R53,R54,R55,R56,R57,R59,R60,R61,R58)</f>
        <v>69740</v>
      </c>
      <c r="S51" s="1527">
        <f>S52+S55-S56</f>
        <v>5561</v>
      </c>
      <c r="T51" s="115">
        <f>SUM(T52:T61)</f>
        <v>75658.01999999999</v>
      </c>
      <c r="U51" s="1230">
        <f>T51/R51*100</f>
        <v>108.48583309435043</v>
      </c>
    </row>
    <row r="52" spans="1:21" ht="12.75">
      <c r="A52" s="45">
        <v>221</v>
      </c>
      <c r="B52" s="35" t="s">
        <v>55</v>
      </c>
      <c r="C52" s="36" t="s">
        <v>59</v>
      </c>
      <c r="D52" s="122">
        <v>10000</v>
      </c>
      <c r="E52" s="122">
        <v>1911</v>
      </c>
      <c r="F52" s="123"/>
      <c r="G52" s="122">
        <v>5396</v>
      </c>
      <c r="H52" s="124"/>
      <c r="I52" s="123">
        <v>8599</v>
      </c>
      <c r="J52" s="123"/>
      <c r="K52" s="125">
        <v>19349</v>
      </c>
      <c r="L52" s="126">
        <v>13179</v>
      </c>
      <c r="M52" s="126">
        <v>308.82</v>
      </c>
      <c r="N52" s="126"/>
      <c r="O52" s="126">
        <v>13179</v>
      </c>
      <c r="P52" s="126">
        <v>3345.92</v>
      </c>
      <c r="Q52" s="126">
        <v>5559</v>
      </c>
      <c r="R52" s="126">
        <v>19240</v>
      </c>
      <c r="S52" s="1533">
        <v>6061</v>
      </c>
      <c r="T52" s="127">
        <v>19239.14</v>
      </c>
      <c r="U52" s="61"/>
    </row>
    <row r="53" spans="1:21" ht="12.75">
      <c r="A53" s="45">
        <v>222</v>
      </c>
      <c r="B53" s="35" t="s">
        <v>28</v>
      </c>
      <c r="C53" s="36" t="s">
        <v>60</v>
      </c>
      <c r="D53" s="38">
        <v>2500</v>
      </c>
      <c r="E53" s="38">
        <v>205</v>
      </c>
      <c r="F53" s="63"/>
      <c r="G53" s="38">
        <v>1260</v>
      </c>
      <c r="H53" s="37"/>
      <c r="I53" s="63">
        <v>1956</v>
      </c>
      <c r="J53" s="63"/>
      <c r="K53" s="128">
        <v>2286</v>
      </c>
      <c r="L53" s="66">
        <v>2500</v>
      </c>
      <c r="M53" s="66">
        <v>260</v>
      </c>
      <c r="N53" s="126"/>
      <c r="O53" s="66">
        <v>2500</v>
      </c>
      <c r="P53" s="126">
        <v>826</v>
      </c>
      <c r="Q53" s="126">
        <v>1146</v>
      </c>
      <c r="R53" s="126">
        <v>2500</v>
      </c>
      <c r="S53" s="126"/>
      <c r="T53" s="127">
        <v>1186</v>
      </c>
      <c r="U53" s="61"/>
    </row>
    <row r="54" spans="1:21" ht="12.75">
      <c r="A54" s="45">
        <v>223</v>
      </c>
      <c r="B54" s="35" t="s">
        <v>31</v>
      </c>
      <c r="C54" s="36" t="s">
        <v>61</v>
      </c>
      <c r="D54" s="38">
        <v>1000</v>
      </c>
      <c r="E54" s="38">
        <v>27</v>
      </c>
      <c r="F54" s="63"/>
      <c r="G54" s="38">
        <v>203</v>
      </c>
      <c r="H54" s="37"/>
      <c r="I54" s="63">
        <v>610</v>
      </c>
      <c r="J54" s="63"/>
      <c r="K54" s="128">
        <v>680</v>
      </c>
      <c r="L54" s="66">
        <v>1000</v>
      </c>
      <c r="M54" s="66">
        <v>19</v>
      </c>
      <c r="N54" s="126"/>
      <c r="O54" s="66">
        <v>1000</v>
      </c>
      <c r="P54" s="126">
        <v>227</v>
      </c>
      <c r="Q54" s="126">
        <v>639.5</v>
      </c>
      <c r="R54" s="126">
        <v>1000</v>
      </c>
      <c r="S54" s="126"/>
      <c r="T54" s="127">
        <v>722.5</v>
      </c>
      <c r="U54" s="61"/>
    </row>
    <row r="55" spans="1:21" ht="12.75">
      <c r="A55" s="45">
        <v>223</v>
      </c>
      <c r="B55" s="46" t="s">
        <v>31</v>
      </c>
      <c r="C55" s="36" t="s">
        <v>62</v>
      </c>
      <c r="D55" s="38">
        <v>5000</v>
      </c>
      <c r="E55" s="38">
        <v>1260</v>
      </c>
      <c r="F55" s="63"/>
      <c r="G55" s="38">
        <v>1807</v>
      </c>
      <c r="H55" s="37"/>
      <c r="I55" s="63">
        <v>2705</v>
      </c>
      <c r="J55" s="63"/>
      <c r="K55" s="128">
        <v>4023</v>
      </c>
      <c r="L55" s="66">
        <v>4000</v>
      </c>
      <c r="M55" s="66">
        <v>4464.58</v>
      </c>
      <c r="N55" s="126"/>
      <c r="O55" s="66">
        <v>4000</v>
      </c>
      <c r="P55" s="126">
        <v>4742.4</v>
      </c>
      <c r="Q55" s="126">
        <v>6128.4</v>
      </c>
      <c r="R55" s="126">
        <v>7000</v>
      </c>
      <c r="S55" s="1534">
        <v>3000</v>
      </c>
      <c r="T55" s="127">
        <v>8036.8</v>
      </c>
      <c r="U55" s="61"/>
    </row>
    <row r="56" spans="1:21" ht="12.75">
      <c r="A56" s="45">
        <v>222</v>
      </c>
      <c r="B56" s="46" t="s">
        <v>28</v>
      </c>
      <c r="C56" s="36" t="s">
        <v>63</v>
      </c>
      <c r="D56" s="38">
        <v>0</v>
      </c>
      <c r="E56" s="38">
        <v>602</v>
      </c>
      <c r="F56" s="63"/>
      <c r="G56" s="38">
        <v>6202</v>
      </c>
      <c r="H56" s="37"/>
      <c r="I56" s="63">
        <v>0</v>
      </c>
      <c r="J56" s="63"/>
      <c r="K56" s="128">
        <v>0</v>
      </c>
      <c r="L56" s="66">
        <v>3500</v>
      </c>
      <c r="M56" s="66">
        <v>0</v>
      </c>
      <c r="N56" s="126"/>
      <c r="O56" s="66">
        <v>3500</v>
      </c>
      <c r="P56" s="126">
        <v>0</v>
      </c>
      <c r="Q56" s="126">
        <v>0</v>
      </c>
      <c r="R56" s="126">
        <v>0</v>
      </c>
      <c r="S56" s="1535">
        <v>3500</v>
      </c>
      <c r="T56" s="127">
        <v>0</v>
      </c>
      <c r="U56" s="61"/>
    </row>
    <row r="57" spans="1:21" ht="12.75">
      <c r="A57" s="45">
        <v>223</v>
      </c>
      <c r="B57" s="46" t="s">
        <v>34</v>
      </c>
      <c r="C57" s="36" t="s">
        <v>64</v>
      </c>
      <c r="D57" s="38">
        <v>0</v>
      </c>
      <c r="E57" s="38"/>
      <c r="F57" s="63"/>
      <c r="G57" s="38">
        <v>5324</v>
      </c>
      <c r="H57" s="37"/>
      <c r="I57" s="63">
        <v>0</v>
      </c>
      <c r="J57" s="63"/>
      <c r="K57" s="128">
        <v>12319</v>
      </c>
      <c r="L57" s="66">
        <v>1000</v>
      </c>
      <c r="M57" s="66">
        <v>4666.08</v>
      </c>
      <c r="N57" s="1534">
        <v>11000</v>
      </c>
      <c r="O57" s="66">
        <v>12000</v>
      </c>
      <c r="P57" s="129">
        <v>1403.4</v>
      </c>
      <c r="Q57" s="129">
        <v>1698.2</v>
      </c>
      <c r="R57" s="126">
        <v>2000</v>
      </c>
      <c r="S57" s="126"/>
      <c r="T57" s="130">
        <v>3339.9</v>
      </c>
      <c r="U57" s="131"/>
    </row>
    <row r="58" spans="1:21" ht="12.75">
      <c r="A58" s="45">
        <v>223</v>
      </c>
      <c r="B58" s="46" t="s">
        <v>28</v>
      </c>
      <c r="C58" s="36" t="s">
        <v>65</v>
      </c>
      <c r="D58" s="38"/>
      <c r="E58" s="38"/>
      <c r="F58" s="63"/>
      <c r="G58" s="38"/>
      <c r="H58" s="37"/>
      <c r="I58" s="63"/>
      <c r="J58" s="63"/>
      <c r="K58" s="128"/>
      <c r="L58" s="66"/>
      <c r="M58" s="66"/>
      <c r="N58" s="1534"/>
      <c r="O58" s="66"/>
      <c r="P58" s="129">
        <v>7115.74</v>
      </c>
      <c r="Q58" s="129">
        <v>8889.94</v>
      </c>
      <c r="R58" s="126">
        <v>10000</v>
      </c>
      <c r="S58" s="126"/>
      <c r="T58" s="130">
        <v>11829.72</v>
      </c>
      <c r="U58" s="61"/>
    </row>
    <row r="59" spans="1:21" ht="12.75">
      <c r="A59" s="45">
        <v>223</v>
      </c>
      <c r="B59" s="46" t="s">
        <v>28</v>
      </c>
      <c r="C59" s="36" t="s">
        <v>66</v>
      </c>
      <c r="D59" s="63">
        <v>6000</v>
      </c>
      <c r="E59" s="63">
        <v>1029</v>
      </c>
      <c r="F59" s="132"/>
      <c r="G59" s="63">
        <v>3270</v>
      </c>
      <c r="H59" s="90"/>
      <c r="I59" s="132">
        <v>3831</v>
      </c>
      <c r="J59" s="132"/>
      <c r="K59" s="128">
        <v>5535</v>
      </c>
      <c r="L59" s="66">
        <v>5000</v>
      </c>
      <c r="M59" s="1536">
        <v>1445.6</v>
      </c>
      <c r="N59" s="126"/>
      <c r="O59" s="66">
        <v>5000</v>
      </c>
      <c r="P59" s="126">
        <v>3130.44</v>
      </c>
      <c r="Q59" s="126">
        <v>3907.88</v>
      </c>
      <c r="R59" s="126">
        <v>5000</v>
      </c>
      <c r="S59" s="126"/>
      <c r="T59" s="127">
        <v>5598.68</v>
      </c>
      <c r="U59" s="61"/>
    </row>
    <row r="60" spans="1:21" ht="12.75">
      <c r="A60" s="45">
        <v>223</v>
      </c>
      <c r="B60" s="46" t="s">
        <v>28</v>
      </c>
      <c r="C60" s="36" t="s">
        <v>67</v>
      </c>
      <c r="D60" s="63">
        <v>25000</v>
      </c>
      <c r="E60" s="63">
        <v>7126</v>
      </c>
      <c r="F60" s="63"/>
      <c r="G60" s="63">
        <v>14458</v>
      </c>
      <c r="H60" s="90"/>
      <c r="I60" s="63">
        <v>18081</v>
      </c>
      <c r="J60" s="63"/>
      <c r="K60" s="128">
        <v>24000</v>
      </c>
      <c r="L60" s="66">
        <v>23000</v>
      </c>
      <c r="M60" s="66">
        <v>8660.52</v>
      </c>
      <c r="N60" s="126"/>
      <c r="O60" s="66">
        <v>23000</v>
      </c>
      <c r="P60" s="126">
        <v>16235.75</v>
      </c>
      <c r="Q60" s="126">
        <v>19987.97</v>
      </c>
      <c r="R60" s="126">
        <v>23000</v>
      </c>
      <c r="S60" s="126"/>
      <c r="T60" s="127">
        <v>25705.28</v>
      </c>
      <c r="U60" s="61"/>
    </row>
    <row r="61" spans="1:21" ht="12.75">
      <c r="A61" s="45">
        <v>229</v>
      </c>
      <c r="B61" s="35" t="s">
        <v>68</v>
      </c>
      <c r="C61" s="36" t="s">
        <v>69</v>
      </c>
      <c r="D61" s="63">
        <v>2000</v>
      </c>
      <c r="E61" s="63">
        <v>0</v>
      </c>
      <c r="F61" s="63"/>
      <c r="G61" s="63">
        <v>0</v>
      </c>
      <c r="H61" s="90"/>
      <c r="I61" s="63">
        <v>0</v>
      </c>
      <c r="J61" s="63"/>
      <c r="K61" s="128">
        <v>0</v>
      </c>
      <c r="L61" s="66"/>
      <c r="M61" s="66">
        <v>0</v>
      </c>
      <c r="N61" s="126"/>
      <c r="O61" s="66"/>
      <c r="P61" s="126">
        <v>0</v>
      </c>
      <c r="Q61" s="126">
        <v>0</v>
      </c>
      <c r="R61" s="126">
        <v>0</v>
      </c>
      <c r="S61" s="126"/>
      <c r="T61" s="127">
        <v>0</v>
      </c>
      <c r="U61" s="61"/>
    </row>
    <row r="62" spans="1:20" ht="12.75">
      <c r="A62" s="72"/>
      <c r="B62" s="110"/>
      <c r="C62" s="110"/>
      <c r="D62" s="73"/>
      <c r="E62" s="73"/>
      <c r="F62" s="74"/>
      <c r="G62" s="73"/>
      <c r="H62" s="75"/>
      <c r="I62" s="74"/>
      <c r="J62" s="74"/>
      <c r="K62" s="76"/>
      <c r="L62" s="78"/>
      <c r="M62" s="78"/>
      <c r="N62" s="78"/>
      <c r="O62" s="78"/>
      <c r="P62" s="78"/>
      <c r="Q62" s="78"/>
      <c r="R62" s="78"/>
      <c r="S62" s="79"/>
      <c r="T62" s="78"/>
    </row>
    <row r="63" spans="1:21" s="89" customFormat="1" ht="12.75">
      <c r="A63" s="80" t="s">
        <v>70</v>
      </c>
      <c r="B63" s="81"/>
      <c r="C63" s="82"/>
      <c r="D63" s="83">
        <f>D64+D67+D69</f>
        <v>570</v>
      </c>
      <c r="E63" s="83">
        <f>SUM(E64,E67)</f>
        <v>131</v>
      </c>
      <c r="F63" s="84">
        <v>22.98</v>
      </c>
      <c r="G63" s="83">
        <f>SUM(G64,G65,G66,G67,G69)</f>
        <v>1060</v>
      </c>
      <c r="H63" s="84">
        <v>181.05</v>
      </c>
      <c r="I63" s="83">
        <f>SUM(I64,I65,I66,I67,I69)</f>
        <v>3837</v>
      </c>
      <c r="J63" s="84">
        <v>673.16</v>
      </c>
      <c r="K63" s="121">
        <f>SUM(K64,K65,K66,K67,K69)</f>
        <v>4262</v>
      </c>
      <c r="L63" s="84">
        <f>SUM(L64,L65,L66,L67,L69)</f>
        <v>1050</v>
      </c>
      <c r="M63" s="84">
        <f>M64+M65+M66+M67+M69</f>
        <v>131.32</v>
      </c>
      <c r="N63" s="1176"/>
      <c r="O63" s="84">
        <f>SUM(O64,O65,O66,O67,O69)</f>
        <v>1050</v>
      </c>
      <c r="P63" s="84">
        <f>P64+P65+P66+P67+P696</f>
        <v>250.58</v>
      </c>
      <c r="Q63" s="84">
        <f>SUM(Q64:Q69)</f>
        <v>450.5</v>
      </c>
      <c r="R63" s="1537">
        <f>SUM(R64,R65,R66,R67,R69,R68)</f>
        <v>1412</v>
      </c>
      <c r="S63" s="1527">
        <f>S64+S68+S69</f>
        <v>362</v>
      </c>
      <c r="T63" s="115">
        <f>SUM(T64:T69)</f>
        <v>667.3</v>
      </c>
      <c r="U63" s="1230">
        <f>T63/R63*100</f>
        <v>47.259206798866856</v>
      </c>
    </row>
    <row r="64" spans="1:21" s="5" customFormat="1" ht="12.75">
      <c r="A64" s="34">
        <v>242</v>
      </c>
      <c r="B64" s="35"/>
      <c r="C64" s="36" t="s">
        <v>71</v>
      </c>
      <c r="D64" s="134">
        <v>20</v>
      </c>
      <c r="E64" s="134">
        <v>3</v>
      </c>
      <c r="F64" s="134"/>
      <c r="G64" s="134">
        <v>6</v>
      </c>
      <c r="H64" s="135"/>
      <c r="I64" s="134">
        <v>23</v>
      </c>
      <c r="J64" s="134"/>
      <c r="K64" s="136">
        <v>49</v>
      </c>
      <c r="L64" s="1538">
        <v>50</v>
      </c>
      <c r="M64" s="1538">
        <v>16.09</v>
      </c>
      <c r="N64" s="55"/>
      <c r="O64" s="137">
        <v>50</v>
      </c>
      <c r="P64" s="138">
        <v>40.63</v>
      </c>
      <c r="Q64" s="139">
        <v>73.29</v>
      </c>
      <c r="R64" s="139">
        <v>150</v>
      </c>
      <c r="S64" s="1082">
        <v>100</v>
      </c>
      <c r="T64" s="140">
        <v>89.91</v>
      </c>
      <c r="U64" s="44"/>
    </row>
    <row r="65" spans="1:21" s="5" customFormat="1" ht="12.75">
      <c r="A65" s="141">
        <v>242</v>
      </c>
      <c r="B65" s="97"/>
      <c r="C65" s="97" t="s">
        <v>72</v>
      </c>
      <c r="D65" s="38"/>
      <c r="E65" s="38"/>
      <c r="F65" s="38"/>
      <c r="G65" s="38">
        <v>28</v>
      </c>
      <c r="H65" s="37"/>
      <c r="I65" s="38">
        <v>0</v>
      </c>
      <c r="J65" s="38"/>
      <c r="K65" s="142">
        <v>68</v>
      </c>
      <c r="L65" s="168"/>
      <c r="M65" s="168">
        <v>19.97</v>
      </c>
      <c r="N65" s="168"/>
      <c r="O65" s="138"/>
      <c r="P65" s="138">
        <v>27.17</v>
      </c>
      <c r="Q65" s="139">
        <v>32.22</v>
      </c>
      <c r="R65" s="139"/>
      <c r="S65" s="138"/>
      <c r="T65" s="140">
        <v>33.58</v>
      </c>
      <c r="U65" s="44"/>
    </row>
    <row r="66" spans="1:21" s="5" customFormat="1" ht="12.75">
      <c r="A66" s="141">
        <v>292</v>
      </c>
      <c r="B66" s="97" t="s">
        <v>73</v>
      </c>
      <c r="C66" s="98" t="s">
        <v>74</v>
      </c>
      <c r="D66" s="134"/>
      <c r="E66" s="134"/>
      <c r="F66" s="134"/>
      <c r="G66" s="134">
        <v>0</v>
      </c>
      <c r="H66" s="135"/>
      <c r="I66" s="134">
        <v>328</v>
      </c>
      <c r="J66" s="134"/>
      <c r="K66" s="136">
        <v>328</v>
      </c>
      <c r="L66" s="1538"/>
      <c r="M66" s="1538">
        <v>0</v>
      </c>
      <c r="N66" s="1538"/>
      <c r="O66" s="137"/>
      <c r="P66" s="138">
        <v>0</v>
      </c>
      <c r="Q66" s="139">
        <v>0</v>
      </c>
      <c r="R66" s="139"/>
      <c r="S66" s="138"/>
      <c r="T66" s="140">
        <v>0</v>
      </c>
      <c r="U66" s="44"/>
    </row>
    <row r="67" spans="1:21" ht="12.75">
      <c r="A67" s="96">
        <v>292</v>
      </c>
      <c r="B67" s="145" t="s">
        <v>75</v>
      </c>
      <c r="C67" s="98" t="s">
        <v>76</v>
      </c>
      <c r="D67" s="51">
        <v>550</v>
      </c>
      <c r="E67" s="51">
        <v>128</v>
      </c>
      <c r="F67" s="48"/>
      <c r="G67" s="51">
        <v>1026</v>
      </c>
      <c r="H67" s="146"/>
      <c r="I67" s="48">
        <v>3486</v>
      </c>
      <c r="J67" s="48"/>
      <c r="K67" s="147">
        <v>3576</v>
      </c>
      <c r="L67" s="102">
        <v>1000</v>
      </c>
      <c r="M67" s="102">
        <v>95.26</v>
      </c>
      <c r="N67" s="67"/>
      <c r="O67" s="100">
        <v>1000</v>
      </c>
      <c r="P67" s="66">
        <v>182.78</v>
      </c>
      <c r="Q67" s="150">
        <v>205.14</v>
      </c>
      <c r="R67" s="139">
        <v>1000</v>
      </c>
      <c r="S67" s="138"/>
      <c r="T67" s="151">
        <v>283.36</v>
      </c>
      <c r="U67" s="61"/>
    </row>
    <row r="68" spans="1:21" ht="12.75">
      <c r="A68" s="96">
        <v>292</v>
      </c>
      <c r="B68" s="145" t="s">
        <v>77</v>
      </c>
      <c r="C68" s="98" t="s">
        <v>78</v>
      </c>
      <c r="D68" s="51"/>
      <c r="E68" s="51"/>
      <c r="F68" s="48"/>
      <c r="G68" s="51"/>
      <c r="H68" s="146"/>
      <c r="I68" s="48"/>
      <c r="J68" s="48"/>
      <c r="K68" s="147"/>
      <c r="L68" s="102"/>
      <c r="M68" s="102"/>
      <c r="N68" s="1539"/>
      <c r="O68" s="100"/>
      <c r="P68" s="66"/>
      <c r="Q68" s="150">
        <v>120.6</v>
      </c>
      <c r="R68" s="139">
        <v>242</v>
      </c>
      <c r="S68" s="1082">
        <v>242</v>
      </c>
      <c r="T68" s="151">
        <v>241.2</v>
      </c>
      <c r="U68" s="61"/>
    </row>
    <row r="69" spans="1:21" ht="12.75">
      <c r="A69" s="153">
        <v>292</v>
      </c>
      <c r="B69" s="154" t="s">
        <v>79</v>
      </c>
      <c r="C69" s="98" t="s">
        <v>80</v>
      </c>
      <c r="D69" s="51"/>
      <c r="E69" s="51">
        <v>0</v>
      </c>
      <c r="F69" s="48"/>
      <c r="G69" s="51">
        <v>0</v>
      </c>
      <c r="H69" s="146"/>
      <c r="I69" s="48"/>
      <c r="J69" s="48"/>
      <c r="K69" s="147">
        <v>241</v>
      </c>
      <c r="L69" s="102"/>
      <c r="M69" s="102">
        <v>0</v>
      </c>
      <c r="N69" s="1539"/>
      <c r="O69" s="100"/>
      <c r="P69" s="66">
        <v>0</v>
      </c>
      <c r="Q69" s="150">
        <v>19.25</v>
      </c>
      <c r="R69" s="139">
        <v>20</v>
      </c>
      <c r="S69" s="1082">
        <v>20</v>
      </c>
      <c r="T69" s="151">
        <v>19.25</v>
      </c>
      <c r="U69" s="61"/>
    </row>
    <row r="70" spans="1:21" ht="12.75">
      <c r="A70" s="1593" t="s">
        <v>81</v>
      </c>
      <c r="B70" s="1593"/>
      <c r="C70" s="1593"/>
      <c r="D70" s="103">
        <f>SUM(D44,D51,D63)</f>
        <v>99070</v>
      </c>
      <c r="E70" s="155">
        <f>SUM(E44,E51,E63)</f>
        <v>18096</v>
      </c>
      <c r="F70" s="104">
        <v>18.27</v>
      </c>
      <c r="G70" s="155">
        <f>SUM(G44,G51,G63)</f>
        <v>58855</v>
      </c>
      <c r="H70" s="104">
        <v>54.01</v>
      </c>
      <c r="I70" s="155">
        <f>SUM(I44,I51,I63)</f>
        <v>66847</v>
      </c>
      <c r="J70" s="104">
        <v>67.48</v>
      </c>
      <c r="K70" s="156">
        <f>SUM(K44,K51,K63)</f>
        <v>107620</v>
      </c>
      <c r="L70" s="104">
        <f>SUM(L44,L51,L63)</f>
        <v>96229</v>
      </c>
      <c r="M70" s="158">
        <f>M44+M51+M63</f>
        <v>27782.859999999997</v>
      </c>
      <c r="N70" s="1540">
        <v>8000</v>
      </c>
      <c r="O70" s="104">
        <f>SUM(O44,O51,O63)</f>
        <v>104229</v>
      </c>
      <c r="P70" s="104">
        <f>P44+P51+P63</f>
        <v>59137.77</v>
      </c>
      <c r="Q70" s="157">
        <f>Q63+Q51+Q44</f>
        <v>77101.6</v>
      </c>
      <c r="R70" s="157">
        <f>SUM(R44,R51,R63)</f>
        <v>108152</v>
      </c>
      <c r="S70" s="1541">
        <f>S51+S63-S44</f>
        <v>3923</v>
      </c>
      <c r="T70" s="158">
        <f>T63+T51+T44</f>
        <v>114492.81</v>
      </c>
      <c r="U70" s="1006">
        <f>T70/R70*100</f>
        <v>105.86286892521638</v>
      </c>
    </row>
    <row r="71" spans="1:20" ht="12" customHeight="1">
      <c r="A71" s="159"/>
      <c r="B71" s="159"/>
      <c r="C71" s="110"/>
      <c r="D71" s="160"/>
      <c r="E71" s="160"/>
      <c r="F71" s="77"/>
      <c r="G71" s="160"/>
      <c r="H71" s="161"/>
      <c r="I71" s="77"/>
      <c r="J71" s="77"/>
      <c r="K71" s="76"/>
      <c r="L71" s="76"/>
      <c r="M71" s="76"/>
      <c r="N71" s="74"/>
      <c r="O71" s="76"/>
      <c r="P71" s="76"/>
      <c r="Q71" s="76"/>
      <c r="R71" s="76"/>
      <c r="S71" s="162"/>
      <c r="T71" s="76"/>
    </row>
    <row r="72" spans="1:20" ht="12.75" hidden="1">
      <c r="A72" s="159"/>
      <c r="B72" s="159"/>
      <c r="C72" s="110"/>
      <c r="D72" s="160"/>
      <c r="E72" s="160"/>
      <c r="F72" s="77"/>
      <c r="G72" s="160"/>
      <c r="H72" s="161"/>
      <c r="I72" s="77"/>
      <c r="J72" s="77"/>
      <c r="K72" s="76"/>
      <c r="L72" s="76"/>
      <c r="M72" s="76"/>
      <c r="N72" s="74"/>
      <c r="O72" s="76"/>
      <c r="P72" s="76"/>
      <c r="Q72" s="76"/>
      <c r="R72" s="76"/>
      <c r="S72" s="162"/>
      <c r="T72" s="76"/>
    </row>
    <row r="73" spans="1:20" ht="12.75" hidden="1">
      <c r="A73" s="159"/>
      <c r="B73" s="159"/>
      <c r="C73" s="110"/>
      <c r="D73" s="160"/>
      <c r="E73" s="160"/>
      <c r="F73" s="77"/>
      <c r="G73" s="160"/>
      <c r="H73" s="161"/>
      <c r="I73" s="77"/>
      <c r="J73" s="77"/>
      <c r="K73" s="76"/>
      <c r="L73" s="76"/>
      <c r="M73" s="76"/>
      <c r="N73" s="74"/>
      <c r="O73" s="76"/>
      <c r="P73" s="76"/>
      <c r="Q73" s="76"/>
      <c r="R73" s="76"/>
      <c r="S73" s="163"/>
      <c r="T73" s="76"/>
    </row>
    <row r="74" spans="1:20" ht="12.75" hidden="1">
      <c r="A74" s="159"/>
      <c r="B74" s="159"/>
      <c r="C74" s="110"/>
      <c r="D74" s="160"/>
      <c r="E74" s="160"/>
      <c r="F74" s="77"/>
      <c r="G74" s="160"/>
      <c r="H74" s="161"/>
      <c r="I74" s="77"/>
      <c r="J74" s="77"/>
      <c r="K74" s="76"/>
      <c r="L74" s="76"/>
      <c r="M74" s="76"/>
      <c r="N74" s="74"/>
      <c r="O74" s="76"/>
      <c r="P74" s="76"/>
      <c r="Q74" s="76"/>
      <c r="R74" s="76"/>
      <c r="S74" s="162"/>
      <c r="T74" s="76"/>
    </row>
    <row r="75" spans="1:20" ht="12.75" hidden="1">
      <c r="A75" s="159"/>
      <c r="B75" s="159"/>
      <c r="C75" s="110"/>
      <c r="D75" s="160"/>
      <c r="E75" s="160"/>
      <c r="F75" s="77"/>
      <c r="G75" s="160"/>
      <c r="H75" s="161"/>
      <c r="I75" s="77"/>
      <c r="J75" s="77"/>
      <c r="K75" s="76"/>
      <c r="L75" s="76"/>
      <c r="M75" s="76"/>
      <c r="N75" s="74"/>
      <c r="O75" s="76"/>
      <c r="P75" s="76"/>
      <c r="Q75" s="76"/>
      <c r="R75" s="76"/>
      <c r="S75" s="162"/>
      <c r="T75" s="76"/>
    </row>
    <row r="76" spans="1:20" ht="12.75" hidden="1">
      <c r="A76" s="159"/>
      <c r="B76" s="159"/>
      <c r="C76" s="110"/>
      <c r="D76" s="160"/>
      <c r="E76" s="160"/>
      <c r="F76" s="77"/>
      <c r="G76" s="160"/>
      <c r="H76" s="161"/>
      <c r="I76" s="77"/>
      <c r="J76" s="77"/>
      <c r="K76" s="76"/>
      <c r="L76" s="76"/>
      <c r="M76" s="76"/>
      <c r="N76" s="74"/>
      <c r="O76" s="76"/>
      <c r="P76" s="76"/>
      <c r="Q76" s="76"/>
      <c r="R76" s="76"/>
      <c r="S76" s="162"/>
      <c r="T76" s="76"/>
    </row>
    <row r="77" spans="1:20" ht="12.75" hidden="1">
      <c r="A77" s="159"/>
      <c r="B77" s="159"/>
      <c r="C77" s="110"/>
      <c r="D77" s="160"/>
      <c r="E77" s="160"/>
      <c r="F77" s="77"/>
      <c r="G77" s="160"/>
      <c r="H77" s="161"/>
      <c r="I77" s="77"/>
      <c r="J77" s="77"/>
      <c r="K77" s="76"/>
      <c r="L77" s="76"/>
      <c r="M77" s="76"/>
      <c r="N77" s="74"/>
      <c r="O77" s="76"/>
      <c r="P77" s="76"/>
      <c r="Q77" s="76"/>
      <c r="R77" s="76"/>
      <c r="S77" s="162"/>
      <c r="T77" s="76"/>
    </row>
    <row r="78" spans="1:20" ht="12.75" hidden="1">
      <c r="A78" s="159"/>
      <c r="B78" s="159"/>
      <c r="C78" s="110"/>
      <c r="D78" s="160"/>
      <c r="E78" s="160"/>
      <c r="F78" s="77"/>
      <c r="G78" s="160"/>
      <c r="H78" s="161"/>
      <c r="I78" s="77"/>
      <c r="J78" s="77"/>
      <c r="K78" s="76"/>
      <c r="L78" s="76"/>
      <c r="M78" s="76"/>
      <c r="N78" s="74"/>
      <c r="O78" s="76"/>
      <c r="P78" s="76"/>
      <c r="Q78" s="76"/>
      <c r="R78" s="76"/>
      <c r="S78" s="162"/>
      <c r="T78" s="76"/>
    </row>
    <row r="79" spans="1:20" ht="12.75" hidden="1">
      <c r="A79" s="159"/>
      <c r="B79" s="159"/>
      <c r="C79" s="110"/>
      <c r="D79" s="160"/>
      <c r="E79" s="160"/>
      <c r="F79" s="77"/>
      <c r="G79" s="160"/>
      <c r="H79" s="161"/>
      <c r="I79" s="77"/>
      <c r="J79" s="77"/>
      <c r="K79" s="76"/>
      <c r="L79" s="76"/>
      <c r="M79" s="76"/>
      <c r="N79" s="74"/>
      <c r="O79" s="76"/>
      <c r="P79" s="76"/>
      <c r="Q79" s="76"/>
      <c r="R79" s="76"/>
      <c r="S79" s="162"/>
      <c r="T79" s="76"/>
    </row>
    <row r="80" spans="1:20" ht="12.75">
      <c r="A80" s="159"/>
      <c r="B80" s="159"/>
      <c r="C80" s="110"/>
      <c r="D80" s="160"/>
      <c r="E80" s="160"/>
      <c r="F80" s="77"/>
      <c r="G80" s="160"/>
      <c r="H80" s="161"/>
      <c r="I80" s="77"/>
      <c r="J80" s="77"/>
      <c r="K80" s="76"/>
      <c r="L80" s="76"/>
      <c r="M80" s="76"/>
      <c r="N80" s="74"/>
      <c r="O80" s="76"/>
      <c r="P80" s="76"/>
      <c r="Q80" s="76"/>
      <c r="R80" s="76"/>
      <c r="S80" s="162"/>
      <c r="T80" s="76"/>
    </row>
    <row r="81" spans="1:20" ht="12.75">
      <c r="A81" s="159"/>
      <c r="B81" s="159"/>
      <c r="C81" s="110"/>
      <c r="D81" s="160"/>
      <c r="E81" s="160"/>
      <c r="F81" s="77"/>
      <c r="G81" s="160"/>
      <c r="H81" s="161"/>
      <c r="I81" s="77"/>
      <c r="J81" s="77"/>
      <c r="K81" s="76"/>
      <c r="L81" s="76"/>
      <c r="M81" s="76"/>
      <c r="N81" s="74"/>
      <c r="O81" s="76"/>
      <c r="P81" s="76"/>
      <c r="Q81" s="76"/>
      <c r="R81" s="76"/>
      <c r="S81" s="162"/>
      <c r="T81" s="76"/>
    </row>
    <row r="82" spans="1:19" ht="15.75">
      <c r="A82" s="159"/>
      <c r="B82" s="159"/>
      <c r="C82" s="110"/>
      <c r="D82" s="160"/>
      <c r="E82" s="160"/>
      <c r="F82" s="77"/>
      <c r="G82" s="160"/>
      <c r="H82" s="161"/>
      <c r="I82" s="77"/>
      <c r="J82" s="1594" t="s">
        <v>82</v>
      </c>
      <c r="K82" s="1594"/>
      <c r="L82" s="1594"/>
      <c r="M82" s="1594"/>
      <c r="N82" s="1594"/>
      <c r="O82" s="1594"/>
      <c r="P82" s="1594"/>
      <c r="Q82" s="1594"/>
      <c r="R82" s="1594"/>
      <c r="S82" s="162"/>
    </row>
    <row r="83" spans="1:20" ht="12.75">
      <c r="A83" s="159"/>
      <c r="B83" s="159"/>
      <c r="C83" s="110"/>
      <c r="D83" s="160"/>
      <c r="E83" s="160"/>
      <c r="F83" s="77"/>
      <c r="G83" s="160"/>
      <c r="H83" s="161"/>
      <c r="I83" s="77"/>
      <c r="J83" s="77"/>
      <c r="K83" s="76"/>
      <c r="L83" s="76"/>
      <c r="M83" s="76"/>
      <c r="N83" s="74"/>
      <c r="O83" s="76"/>
      <c r="P83" s="76"/>
      <c r="Q83" s="76"/>
      <c r="R83" s="76"/>
      <c r="S83" s="162"/>
      <c r="T83" s="76"/>
    </row>
    <row r="84" spans="1:21" ht="39.75" customHeight="1">
      <c r="A84" s="13" t="s">
        <v>11</v>
      </c>
      <c r="B84" s="14"/>
      <c r="C84" s="15"/>
      <c r="D84" s="16" t="s">
        <v>13</v>
      </c>
      <c r="E84" s="16" t="s">
        <v>14</v>
      </c>
      <c r="F84" s="17" t="s">
        <v>15</v>
      </c>
      <c r="G84" s="16" t="s">
        <v>16</v>
      </c>
      <c r="H84" s="17" t="s">
        <v>15</v>
      </c>
      <c r="I84" s="16" t="s">
        <v>17</v>
      </c>
      <c r="J84" s="17" t="s">
        <v>15</v>
      </c>
      <c r="K84" s="16" t="s">
        <v>18</v>
      </c>
      <c r="L84" s="164">
        <v>2012</v>
      </c>
      <c r="M84" s="16" t="s">
        <v>19</v>
      </c>
      <c r="N84" s="19" t="s">
        <v>20</v>
      </c>
      <c r="O84" s="20" t="s">
        <v>21</v>
      </c>
      <c r="P84" s="21" t="s">
        <v>22</v>
      </c>
      <c r="Q84" s="21" t="s">
        <v>23</v>
      </c>
      <c r="R84" s="20" t="s">
        <v>24</v>
      </c>
      <c r="S84" s="19" t="s">
        <v>25</v>
      </c>
      <c r="T84" s="22" t="s">
        <v>26</v>
      </c>
      <c r="U84" s="113" t="s">
        <v>15</v>
      </c>
    </row>
    <row r="85" spans="1:21" s="33" customFormat="1" ht="12.75">
      <c r="A85" s="80" t="s">
        <v>83</v>
      </c>
      <c r="B85" s="81"/>
      <c r="C85" s="82"/>
      <c r="D85" s="83">
        <f>D86+D87+D88+D89+D90+D91+D92+D93+D94+D95+D96+D98+D99</f>
        <v>439035</v>
      </c>
      <c r="E85" s="83" t="e">
        <f>NA()</f>
        <v>#N/A</v>
      </c>
      <c r="F85" s="84">
        <v>26.03</v>
      </c>
      <c r="G85" s="83" t="e">
        <f>NA()</f>
        <v>#N/A</v>
      </c>
      <c r="H85" s="84">
        <v>52.36</v>
      </c>
      <c r="I85" s="83" t="e">
        <f>I86+I87+I88+I89+I90+I91+I92+"#REF!#REF!+I93+I94+I95+I96+I98+I99+#REF!#REF!+#REF!#REF!"</f>
        <v>#VALUE!</v>
      </c>
      <c r="J85" s="84">
        <v>77.29</v>
      </c>
      <c r="K85" s="121">
        <f>SUM(K86,K87,K88,K89,K90,K91,K92,K93,K94,K95,K96,K98,K99)</f>
        <v>449675</v>
      </c>
      <c r="L85" s="84">
        <f>SUM(L86,L87,L88,L89,L90,L91,L92,L93,L94,L95,L96,L98,L99)</f>
        <v>419450</v>
      </c>
      <c r="M85" s="84">
        <f>SUM(M86,M87,M88,M89,M90,M91,M92,M93,M94,M95,M96,M98,M99)</f>
        <v>121149.49999999999</v>
      </c>
      <c r="N85" s="1527">
        <f>SUM(N86:N99)</f>
        <v>38050</v>
      </c>
      <c r="O85" s="84">
        <f>SUM(O86,O87,O88,O89,O90,O91,O92,O93,O94,O95,O96,O98,O99)</f>
        <v>457500</v>
      </c>
      <c r="P85" s="84">
        <f>SUM(P86:P99)</f>
        <v>238533.63</v>
      </c>
      <c r="Q85" s="84">
        <f>SUM(Q86:Q99)</f>
        <v>346770.86999999994</v>
      </c>
      <c r="R85" s="84">
        <f>SUM(R86,R87,R88,R89,R90,R91,R92,R93,R94,R95,R96,R98,R99,R117,R100,R101)</f>
        <v>517697.79</v>
      </c>
      <c r="S85" s="1527">
        <f>S88+S89+S90+S92+S98-S86-S91+S100+S101+S87-T92-S95</f>
        <v>52270.79</v>
      </c>
      <c r="T85" s="115">
        <f>SUM(T86:T102)</f>
        <v>516819.57</v>
      </c>
      <c r="U85" s="86">
        <f>T85/R85*100</f>
        <v>99.83036048888677</v>
      </c>
    </row>
    <row r="86" spans="1:21" s="33" customFormat="1" ht="12.75">
      <c r="A86" s="34">
        <v>312</v>
      </c>
      <c r="B86" s="35" t="s">
        <v>31</v>
      </c>
      <c r="C86" s="36" t="s">
        <v>84</v>
      </c>
      <c r="D86" s="165"/>
      <c r="E86" s="165"/>
      <c r="F86" s="38"/>
      <c r="G86" s="38">
        <v>650</v>
      </c>
      <c r="H86" s="166"/>
      <c r="I86" s="38">
        <v>650</v>
      </c>
      <c r="J86" s="38"/>
      <c r="K86" s="167">
        <v>650</v>
      </c>
      <c r="L86" s="138">
        <v>650</v>
      </c>
      <c r="M86" s="138">
        <v>0</v>
      </c>
      <c r="N86" s="138"/>
      <c r="O86" s="138">
        <v>650</v>
      </c>
      <c r="P86" s="138">
        <v>400</v>
      </c>
      <c r="Q86" s="138">
        <v>400</v>
      </c>
      <c r="R86" s="138">
        <v>400</v>
      </c>
      <c r="S86" s="1542">
        <v>250</v>
      </c>
      <c r="T86" s="168">
        <v>400</v>
      </c>
      <c r="U86" s="169"/>
    </row>
    <row r="87" spans="1:21" s="33" customFormat="1" ht="12.75">
      <c r="A87" s="34">
        <v>312</v>
      </c>
      <c r="B87" s="35" t="s">
        <v>31</v>
      </c>
      <c r="C87" s="36" t="s">
        <v>85</v>
      </c>
      <c r="D87" s="38">
        <v>397854</v>
      </c>
      <c r="E87" s="38">
        <v>98214</v>
      </c>
      <c r="F87" s="38"/>
      <c r="G87" s="38">
        <v>196428</v>
      </c>
      <c r="H87" s="37"/>
      <c r="I87" s="38">
        <v>294642</v>
      </c>
      <c r="J87" s="38"/>
      <c r="K87" s="167">
        <v>390969</v>
      </c>
      <c r="L87" s="138">
        <v>364000</v>
      </c>
      <c r="M87" s="138">
        <v>100339</v>
      </c>
      <c r="N87" s="1082">
        <v>37000</v>
      </c>
      <c r="O87" s="138">
        <v>401000</v>
      </c>
      <c r="P87" s="138">
        <v>200677</v>
      </c>
      <c r="Q87" s="138">
        <v>301015</v>
      </c>
      <c r="R87" s="138">
        <f>O87+S87</f>
        <v>403046</v>
      </c>
      <c r="S87" s="1543">
        <v>2046</v>
      </c>
      <c r="T87" s="168">
        <v>403046</v>
      </c>
      <c r="U87" s="169"/>
    </row>
    <row r="88" spans="1:21" s="33" customFormat="1" ht="12.75">
      <c r="A88" s="34">
        <v>312</v>
      </c>
      <c r="B88" s="35" t="s">
        <v>31</v>
      </c>
      <c r="C88" s="36" t="s">
        <v>86</v>
      </c>
      <c r="D88" s="165"/>
      <c r="E88" s="165"/>
      <c r="F88" s="38"/>
      <c r="G88" s="165"/>
      <c r="H88" s="166"/>
      <c r="I88" s="38">
        <v>3000</v>
      </c>
      <c r="J88" s="38"/>
      <c r="K88" s="167">
        <v>3000</v>
      </c>
      <c r="L88" s="138">
        <v>2000</v>
      </c>
      <c r="M88" s="138">
        <v>2857.47</v>
      </c>
      <c r="N88" s="138"/>
      <c r="O88" s="138">
        <v>2000</v>
      </c>
      <c r="P88" s="138">
        <v>2857.47</v>
      </c>
      <c r="Q88" s="138">
        <v>2857.47</v>
      </c>
      <c r="R88" s="138">
        <v>2857.47</v>
      </c>
      <c r="S88" s="1082">
        <v>857.47</v>
      </c>
      <c r="T88" s="168">
        <v>2857.47</v>
      </c>
      <c r="U88" s="169"/>
    </row>
    <row r="89" spans="1:21" ht="12.75">
      <c r="A89" s="45">
        <v>312</v>
      </c>
      <c r="B89" s="46" t="s">
        <v>31</v>
      </c>
      <c r="C89" s="36" t="s">
        <v>87</v>
      </c>
      <c r="D89" s="63">
        <v>3500</v>
      </c>
      <c r="E89" s="63">
        <v>609</v>
      </c>
      <c r="F89" s="63"/>
      <c r="G89" s="63">
        <v>1218</v>
      </c>
      <c r="H89" s="90"/>
      <c r="I89" s="63">
        <v>1624</v>
      </c>
      <c r="J89" s="63"/>
      <c r="K89" s="128">
        <v>3080</v>
      </c>
      <c r="L89" s="66">
        <v>2500</v>
      </c>
      <c r="M89" s="66">
        <v>1092</v>
      </c>
      <c r="N89" s="66"/>
      <c r="O89" s="66">
        <v>2500</v>
      </c>
      <c r="P89" s="66">
        <v>2184</v>
      </c>
      <c r="Q89" s="66">
        <v>2912</v>
      </c>
      <c r="R89" s="138">
        <f>O89+S89</f>
        <v>4617</v>
      </c>
      <c r="S89" s="1543">
        <v>2117</v>
      </c>
      <c r="T89" s="67">
        <v>4617</v>
      </c>
      <c r="U89" s="61"/>
    </row>
    <row r="90" spans="1:21" ht="12.75">
      <c r="A90" s="45">
        <v>312</v>
      </c>
      <c r="B90" s="46" t="s">
        <v>31</v>
      </c>
      <c r="C90" s="36" t="s">
        <v>88</v>
      </c>
      <c r="D90" s="63">
        <v>4731</v>
      </c>
      <c r="E90" s="63">
        <v>1194</v>
      </c>
      <c r="F90" s="63"/>
      <c r="G90" s="63">
        <v>2388</v>
      </c>
      <c r="H90" s="90"/>
      <c r="I90" s="63">
        <v>3582</v>
      </c>
      <c r="J90" s="63"/>
      <c r="K90" s="128">
        <v>4775</v>
      </c>
      <c r="L90" s="66">
        <v>4500</v>
      </c>
      <c r="M90" s="66">
        <v>1194</v>
      </c>
      <c r="N90" s="66"/>
      <c r="O90" s="66">
        <v>4500</v>
      </c>
      <c r="P90" s="66">
        <v>2388</v>
      </c>
      <c r="Q90" s="66">
        <v>3582</v>
      </c>
      <c r="R90" s="138">
        <v>4771.95</v>
      </c>
      <c r="S90" s="1082">
        <v>271.95</v>
      </c>
      <c r="T90" s="67">
        <v>4771.95</v>
      </c>
      <c r="U90" s="61"/>
    </row>
    <row r="91" spans="1:22" ht="12.75">
      <c r="A91" s="45">
        <v>312</v>
      </c>
      <c r="B91" s="46" t="s">
        <v>31</v>
      </c>
      <c r="C91" s="36" t="s">
        <v>89</v>
      </c>
      <c r="D91" s="63">
        <v>6000</v>
      </c>
      <c r="E91" s="123">
        <v>4774</v>
      </c>
      <c r="F91" s="123"/>
      <c r="G91" s="63">
        <v>9641</v>
      </c>
      <c r="H91" s="170"/>
      <c r="I91" s="123">
        <v>11276</v>
      </c>
      <c r="J91" s="123"/>
      <c r="K91" s="125">
        <v>13159</v>
      </c>
      <c r="L91" s="126">
        <v>12000</v>
      </c>
      <c r="M91" s="126">
        <v>3619.7</v>
      </c>
      <c r="N91" s="126"/>
      <c r="O91" s="126">
        <v>12000</v>
      </c>
      <c r="P91" s="126">
        <v>6861.2</v>
      </c>
      <c r="Q91" s="126">
        <v>8114.1</v>
      </c>
      <c r="R91" s="138">
        <v>10050</v>
      </c>
      <c r="S91" s="1542">
        <v>1950</v>
      </c>
      <c r="T91" s="127">
        <v>9379.45</v>
      </c>
      <c r="U91" s="171"/>
      <c r="V91" s="172"/>
    </row>
    <row r="92" spans="1:22" s="5" customFormat="1" ht="12.75">
      <c r="A92" s="34">
        <v>312</v>
      </c>
      <c r="B92" s="35" t="s">
        <v>31</v>
      </c>
      <c r="C92" s="36" t="s">
        <v>90</v>
      </c>
      <c r="D92" s="173">
        <v>0</v>
      </c>
      <c r="E92" s="173"/>
      <c r="F92" s="38"/>
      <c r="G92" s="173">
        <v>3015</v>
      </c>
      <c r="H92" s="174"/>
      <c r="I92" s="38">
        <v>3015</v>
      </c>
      <c r="J92" s="38"/>
      <c r="K92" s="167">
        <v>6120</v>
      </c>
      <c r="L92" s="138">
        <v>6000</v>
      </c>
      <c r="M92" s="138">
        <v>0</v>
      </c>
      <c r="N92" s="138"/>
      <c r="O92" s="138">
        <v>6000</v>
      </c>
      <c r="P92" s="138">
        <v>3500</v>
      </c>
      <c r="Q92" s="138">
        <v>3500</v>
      </c>
      <c r="R92" s="138">
        <f>O92+S92</f>
        <v>8033</v>
      </c>
      <c r="S92" s="1543">
        <v>2033</v>
      </c>
      <c r="T92" s="168">
        <v>8033</v>
      </c>
      <c r="U92" s="175"/>
      <c r="V92" s="176"/>
    </row>
    <row r="93" spans="1:22" s="5" customFormat="1" ht="12.75">
      <c r="A93" s="34">
        <v>312</v>
      </c>
      <c r="B93" s="35" t="s">
        <v>91</v>
      </c>
      <c r="C93" s="36"/>
      <c r="D93" s="177">
        <v>450</v>
      </c>
      <c r="E93" s="177">
        <v>48</v>
      </c>
      <c r="F93" s="51"/>
      <c r="G93" s="177">
        <v>48</v>
      </c>
      <c r="H93" s="178"/>
      <c r="I93" s="51">
        <v>48</v>
      </c>
      <c r="J93" s="51"/>
      <c r="K93" s="179">
        <v>48</v>
      </c>
      <c r="L93" s="52"/>
      <c r="M93" s="52">
        <v>0</v>
      </c>
      <c r="N93" s="52"/>
      <c r="O93" s="52"/>
      <c r="P93" s="52"/>
      <c r="Q93" s="52"/>
      <c r="R93" s="138"/>
      <c r="S93" s="138"/>
      <c r="T93" s="55"/>
      <c r="U93" s="175"/>
      <c r="V93" s="176"/>
    </row>
    <row r="94" spans="1:22" s="5" customFormat="1" ht="12.75">
      <c r="A94" s="34">
        <v>312</v>
      </c>
      <c r="B94" s="35" t="s">
        <v>31</v>
      </c>
      <c r="C94" s="36" t="s">
        <v>92</v>
      </c>
      <c r="D94" s="177">
        <v>5500</v>
      </c>
      <c r="E94" s="177">
        <v>1164</v>
      </c>
      <c r="F94" s="51"/>
      <c r="G94" s="177">
        <v>2328</v>
      </c>
      <c r="H94" s="178"/>
      <c r="I94" s="51">
        <v>2328</v>
      </c>
      <c r="J94" s="51"/>
      <c r="K94" s="179">
        <v>3740</v>
      </c>
      <c r="L94" s="52">
        <v>3500</v>
      </c>
      <c r="M94" s="52">
        <v>1059</v>
      </c>
      <c r="N94" s="52"/>
      <c r="O94" s="52">
        <v>3500</v>
      </c>
      <c r="P94" s="52">
        <v>2118</v>
      </c>
      <c r="Q94" s="52">
        <v>2118</v>
      </c>
      <c r="R94" s="138">
        <f>O94-S94</f>
        <v>3394</v>
      </c>
      <c r="S94" s="1544">
        <v>106</v>
      </c>
      <c r="T94" s="55">
        <v>3394</v>
      </c>
      <c r="U94" s="175"/>
      <c r="V94" s="176"/>
    </row>
    <row r="95" spans="1:22" s="5" customFormat="1" ht="12.75" customHeight="1">
      <c r="A95" s="34">
        <v>312</v>
      </c>
      <c r="B95" s="35" t="s">
        <v>31</v>
      </c>
      <c r="C95" s="36" t="s">
        <v>93</v>
      </c>
      <c r="D95" s="177">
        <v>8000</v>
      </c>
      <c r="E95" s="177">
        <v>2360</v>
      </c>
      <c r="F95" s="51"/>
      <c r="G95" s="177">
        <v>4720</v>
      </c>
      <c r="H95" s="178"/>
      <c r="I95" s="51">
        <v>4720</v>
      </c>
      <c r="J95" s="51"/>
      <c r="K95" s="179">
        <v>7693</v>
      </c>
      <c r="L95" s="52">
        <v>8000</v>
      </c>
      <c r="M95" s="52">
        <v>2323</v>
      </c>
      <c r="N95" s="52"/>
      <c r="O95" s="52">
        <v>8000</v>
      </c>
      <c r="P95" s="52">
        <v>4646</v>
      </c>
      <c r="Q95" s="52">
        <v>4646</v>
      </c>
      <c r="R95" s="138">
        <f>O95-S95</f>
        <v>7813</v>
      </c>
      <c r="S95" s="1544">
        <v>187</v>
      </c>
      <c r="T95" s="55">
        <v>7813</v>
      </c>
      <c r="U95" s="175"/>
      <c r="V95" s="180"/>
    </row>
    <row r="96" spans="1:22" s="5" customFormat="1" ht="12.75">
      <c r="A96" s="34">
        <v>312</v>
      </c>
      <c r="B96" s="35" t="s">
        <v>31</v>
      </c>
      <c r="C96" s="36" t="s">
        <v>94</v>
      </c>
      <c r="D96" s="173">
        <v>1000</v>
      </c>
      <c r="E96" s="173">
        <v>286</v>
      </c>
      <c r="F96" s="38"/>
      <c r="G96" s="173">
        <v>484</v>
      </c>
      <c r="H96" s="174"/>
      <c r="I96" s="38">
        <v>660</v>
      </c>
      <c r="J96" s="38"/>
      <c r="K96" s="167">
        <v>891</v>
      </c>
      <c r="L96" s="138">
        <v>300</v>
      </c>
      <c r="M96" s="138">
        <v>345.43</v>
      </c>
      <c r="N96" s="1082">
        <v>1050</v>
      </c>
      <c r="O96" s="138">
        <v>1350</v>
      </c>
      <c r="P96" s="138">
        <v>839.91</v>
      </c>
      <c r="Q96" s="138">
        <v>1200.55</v>
      </c>
      <c r="R96" s="138">
        <v>1350</v>
      </c>
      <c r="S96" s="138"/>
      <c r="T96" s="168">
        <v>1313.25</v>
      </c>
      <c r="U96" s="181"/>
      <c r="V96" s="182"/>
    </row>
    <row r="97" spans="1:22" s="5" customFormat="1" ht="12.75">
      <c r="A97" s="34">
        <v>312</v>
      </c>
      <c r="B97" s="35" t="s">
        <v>31</v>
      </c>
      <c r="C97" s="36" t="s">
        <v>95</v>
      </c>
      <c r="D97" s="173"/>
      <c r="E97" s="173"/>
      <c r="F97" s="38"/>
      <c r="G97" s="173"/>
      <c r="H97" s="174"/>
      <c r="I97" s="38"/>
      <c r="J97" s="38"/>
      <c r="K97" s="167"/>
      <c r="L97" s="138"/>
      <c r="M97" s="138"/>
      <c r="N97" s="1082"/>
      <c r="O97" s="138"/>
      <c r="P97" s="138"/>
      <c r="Q97" s="138"/>
      <c r="R97" s="138"/>
      <c r="S97" s="138"/>
      <c r="T97" s="168">
        <v>194.38</v>
      </c>
      <c r="U97" s="181"/>
      <c r="V97" s="182"/>
    </row>
    <row r="98" spans="1:21" s="5" customFormat="1" ht="12.75">
      <c r="A98" s="34">
        <v>312</v>
      </c>
      <c r="B98" s="35" t="s">
        <v>31</v>
      </c>
      <c r="C98" s="36" t="s">
        <v>96</v>
      </c>
      <c r="D98" s="173">
        <v>9000</v>
      </c>
      <c r="E98" s="173">
        <v>4162</v>
      </c>
      <c r="F98" s="38"/>
      <c r="G98" s="173">
        <v>7470</v>
      </c>
      <c r="H98" s="174"/>
      <c r="I98" s="38">
        <v>10755</v>
      </c>
      <c r="J98" s="38"/>
      <c r="K98" s="167">
        <v>12562</v>
      </c>
      <c r="L98" s="138">
        <v>13000</v>
      </c>
      <c r="M98" s="138">
        <v>6659.9</v>
      </c>
      <c r="N98" s="138"/>
      <c r="O98" s="138">
        <v>13000</v>
      </c>
      <c r="P98" s="138">
        <v>10418.65</v>
      </c>
      <c r="Q98" s="138">
        <v>13470.95</v>
      </c>
      <c r="R98" s="138">
        <v>14500</v>
      </c>
      <c r="S98" s="1082">
        <v>1500</v>
      </c>
      <c r="T98" s="168">
        <v>14179.9</v>
      </c>
      <c r="U98" s="44"/>
    </row>
    <row r="99" spans="1:21" s="5" customFormat="1" ht="12.75">
      <c r="A99" s="141">
        <v>312</v>
      </c>
      <c r="B99" s="97" t="s">
        <v>31</v>
      </c>
      <c r="C99" s="98" t="s">
        <v>97</v>
      </c>
      <c r="D99" s="177">
        <v>3000</v>
      </c>
      <c r="E99" s="177">
        <v>1477</v>
      </c>
      <c r="F99" s="51"/>
      <c r="G99" s="177">
        <v>1477</v>
      </c>
      <c r="H99" s="178"/>
      <c r="I99" s="51">
        <v>3021.2</v>
      </c>
      <c r="J99" s="51"/>
      <c r="K99" s="179">
        <v>2988</v>
      </c>
      <c r="L99" s="52">
        <v>3000</v>
      </c>
      <c r="M99" s="52">
        <v>1660</v>
      </c>
      <c r="N99" s="52"/>
      <c r="O99" s="52">
        <v>3000</v>
      </c>
      <c r="P99" s="52">
        <v>1643.4</v>
      </c>
      <c r="Q99" s="52">
        <v>2954.8</v>
      </c>
      <c r="R99" s="52">
        <v>3000</v>
      </c>
      <c r="S99" s="52"/>
      <c r="T99" s="55">
        <v>2954.8</v>
      </c>
      <c r="U99" s="44"/>
    </row>
    <row r="100" spans="1:21" s="5" customFormat="1" ht="12.75">
      <c r="A100" s="34">
        <v>312</v>
      </c>
      <c r="B100" s="35" t="s">
        <v>31</v>
      </c>
      <c r="C100" s="35" t="s">
        <v>98</v>
      </c>
      <c r="D100" s="173"/>
      <c r="E100" s="173"/>
      <c r="F100" s="38"/>
      <c r="G100" s="173"/>
      <c r="H100" s="174"/>
      <c r="I100" s="38"/>
      <c r="J100" s="38"/>
      <c r="K100" s="167"/>
      <c r="L100" s="138"/>
      <c r="M100" s="138"/>
      <c r="N100" s="138"/>
      <c r="O100" s="138"/>
      <c r="P100" s="138"/>
      <c r="Q100" s="138"/>
      <c r="R100" s="138">
        <v>3990.37</v>
      </c>
      <c r="S100" s="1543">
        <v>3990.37</v>
      </c>
      <c r="T100" s="168">
        <v>3990.37</v>
      </c>
      <c r="U100" s="44"/>
    </row>
    <row r="101" spans="1:21" s="5" customFormat="1" ht="12.75">
      <c r="A101" s="45">
        <v>312</v>
      </c>
      <c r="B101" s="46"/>
      <c r="C101" s="47" t="s">
        <v>99</v>
      </c>
      <c r="D101" s="149"/>
      <c r="E101" s="183"/>
      <c r="F101" s="183"/>
      <c r="G101" s="183"/>
      <c r="H101" s="184"/>
      <c r="I101" s="183"/>
      <c r="J101" s="151"/>
      <c r="K101" s="131"/>
      <c r="L101" s="186"/>
      <c r="M101" s="150"/>
      <c r="N101" s="187"/>
      <c r="O101" s="186"/>
      <c r="P101" s="187"/>
      <c r="Q101" s="187"/>
      <c r="R101" s="187">
        <v>49875</v>
      </c>
      <c r="S101" s="302">
        <v>49875</v>
      </c>
      <c r="T101" s="189">
        <v>49875</v>
      </c>
      <c r="U101" s="44"/>
    </row>
    <row r="102" spans="1:21" s="5" customFormat="1" ht="12.75">
      <c r="A102" s="72"/>
      <c r="B102" s="72"/>
      <c r="C102" s="72"/>
      <c r="D102" s="77"/>
      <c r="E102" s="77"/>
      <c r="F102" s="77"/>
      <c r="G102" s="77"/>
      <c r="H102" s="111"/>
      <c r="I102" s="77"/>
      <c r="J102" s="190"/>
      <c r="K102" s="131"/>
      <c r="L102" s="186"/>
      <c r="M102" s="150"/>
      <c r="N102" s="187"/>
      <c r="O102" s="186"/>
      <c r="P102" s="187"/>
      <c r="Q102" s="187"/>
      <c r="R102" s="187"/>
      <c r="S102" s="302"/>
      <c r="T102" s="189"/>
      <c r="U102" s="44"/>
    </row>
    <row r="103" spans="1:21" s="89" customFormat="1" ht="12.75">
      <c r="A103" s="80" t="s">
        <v>100</v>
      </c>
      <c r="B103" s="81"/>
      <c r="C103" s="82"/>
      <c r="D103" s="191">
        <v>0</v>
      </c>
      <c r="E103" s="192">
        <v>0</v>
      </c>
      <c r="F103" s="193"/>
      <c r="G103" s="192">
        <v>0</v>
      </c>
      <c r="H103" s="192"/>
      <c r="I103" s="193">
        <v>0</v>
      </c>
      <c r="J103" s="193"/>
      <c r="K103" s="194">
        <f>K105</f>
        <v>5000</v>
      </c>
      <c r="L103" s="195">
        <f>L105</f>
        <v>5000</v>
      </c>
      <c r="M103" s="1545">
        <v>0</v>
      </c>
      <c r="N103" s="1546">
        <f>N104+N105</f>
        <v>18100</v>
      </c>
      <c r="O103" s="195">
        <f>SUM(O104:O106)</f>
        <v>23100</v>
      </c>
      <c r="P103" s="195">
        <f>P104+P105</f>
        <v>23673.52</v>
      </c>
      <c r="Q103" s="195">
        <f>SUM(Q104:Q105)</f>
        <v>23673.52</v>
      </c>
      <c r="R103" s="195">
        <f>R105+R104</f>
        <v>23673.52</v>
      </c>
      <c r="S103" s="1546">
        <f>S104+S105</f>
        <v>573.52</v>
      </c>
      <c r="T103" s="196">
        <f>SUM(T104:T105)</f>
        <v>23673.52</v>
      </c>
      <c r="U103" s="32">
        <f>T103/R103*100</f>
        <v>100</v>
      </c>
    </row>
    <row r="104" spans="1:21" s="89" customFormat="1" ht="12.75">
      <c r="A104" s="34">
        <v>311</v>
      </c>
      <c r="B104" s="35"/>
      <c r="C104" s="47" t="s">
        <v>101</v>
      </c>
      <c r="D104" s="149"/>
      <c r="E104" s="183"/>
      <c r="F104" s="183"/>
      <c r="G104" s="183"/>
      <c r="H104" s="184"/>
      <c r="I104" s="183"/>
      <c r="J104" s="151"/>
      <c r="K104" s="131"/>
      <c r="L104" s="186"/>
      <c r="M104" s="150"/>
      <c r="N104" s="302">
        <v>2100</v>
      </c>
      <c r="O104" s="186">
        <v>2100</v>
      </c>
      <c r="P104" s="187">
        <v>2100</v>
      </c>
      <c r="Q104" s="187">
        <v>2100</v>
      </c>
      <c r="R104" s="187">
        <v>2100</v>
      </c>
      <c r="S104" s="187"/>
      <c r="T104" s="189">
        <v>2100</v>
      </c>
      <c r="U104" s="198"/>
    </row>
    <row r="105" spans="1:21" s="5" customFormat="1" ht="12.75">
      <c r="A105" s="34">
        <v>330</v>
      </c>
      <c r="B105" s="35"/>
      <c r="C105" s="36" t="s">
        <v>102</v>
      </c>
      <c r="D105" s="38">
        <v>0</v>
      </c>
      <c r="E105" s="38">
        <v>0</v>
      </c>
      <c r="F105" s="38"/>
      <c r="G105" s="38">
        <v>0</v>
      </c>
      <c r="H105" s="37"/>
      <c r="I105" s="38">
        <v>0</v>
      </c>
      <c r="J105" s="38"/>
      <c r="K105" s="167">
        <v>5000</v>
      </c>
      <c r="L105" s="138">
        <v>5000</v>
      </c>
      <c r="M105" s="138">
        <v>0</v>
      </c>
      <c r="N105" s="199">
        <v>16000</v>
      </c>
      <c r="O105" s="199">
        <v>21000</v>
      </c>
      <c r="P105" s="138">
        <v>21573.52</v>
      </c>
      <c r="Q105" s="138">
        <v>21573.52</v>
      </c>
      <c r="R105" s="138">
        <v>21573.52</v>
      </c>
      <c r="S105" s="1082">
        <v>573.52</v>
      </c>
      <c r="T105" s="138">
        <v>21573.52</v>
      </c>
      <c r="U105" s="137"/>
    </row>
    <row r="106" spans="1:21" s="5" customFormat="1" ht="12.75">
      <c r="A106" s="110"/>
      <c r="B106" s="110"/>
      <c r="C106" s="110"/>
      <c r="D106" s="160"/>
      <c r="E106" s="160"/>
      <c r="F106" s="160"/>
      <c r="G106" s="160"/>
      <c r="H106" s="161"/>
      <c r="I106" s="160"/>
      <c r="J106" s="160"/>
      <c r="K106" s="200"/>
      <c r="L106" s="201"/>
      <c r="M106" s="201"/>
      <c r="N106" s="201"/>
      <c r="O106" s="201"/>
      <c r="P106" s="201"/>
      <c r="Q106" s="201"/>
      <c r="R106" s="138"/>
      <c r="S106" s="138"/>
      <c r="T106" s="202"/>
      <c r="U106" s="44"/>
    </row>
    <row r="107" spans="1:21" s="5" customFormat="1" ht="13.5" thickBot="1">
      <c r="A107" s="1593" t="s">
        <v>103</v>
      </c>
      <c r="B107" s="1593"/>
      <c r="C107" s="1593"/>
      <c r="D107" s="103">
        <f>SUM(D85,D103)</f>
        <v>439035</v>
      </c>
      <c r="E107" s="155" t="e">
        <f>SUM(E85,E103)</f>
        <v>#N/A</v>
      </c>
      <c r="F107" s="103">
        <v>26.03</v>
      </c>
      <c r="G107" s="155" t="e">
        <f>SUM(G85,G103)</f>
        <v>#N/A</v>
      </c>
      <c r="H107" s="103">
        <v>52.36</v>
      </c>
      <c r="I107" s="155" t="e">
        <f>SUM(I85,I103)</f>
        <v>#VALUE!</v>
      </c>
      <c r="J107" s="103">
        <v>77.29</v>
      </c>
      <c r="K107" s="203">
        <f>SUM(K85,K103)</f>
        <v>454675</v>
      </c>
      <c r="L107" s="204">
        <f>SUM(L85,L103)</f>
        <v>424450</v>
      </c>
      <c r="M107" s="204">
        <f>SUM(M85,M103)</f>
        <v>121149.49999999999</v>
      </c>
      <c r="N107" s="1547">
        <f>N85+N103</f>
        <v>56150</v>
      </c>
      <c r="O107" s="204">
        <f>O85+O103</f>
        <v>480600</v>
      </c>
      <c r="P107" s="204">
        <f>P85+P103</f>
        <v>262207.15</v>
      </c>
      <c r="Q107" s="204">
        <f>Q85+Q103</f>
        <v>370444.38999999996</v>
      </c>
      <c r="R107" s="204">
        <f>SUM(R85,R103)</f>
        <v>541371.3099999999</v>
      </c>
      <c r="S107" s="1547">
        <f>S85+S103</f>
        <v>52844.31</v>
      </c>
      <c r="T107" s="205">
        <f>T85+T103</f>
        <v>540493.09</v>
      </c>
      <c r="U107" s="1523">
        <f>T107/R107*100</f>
        <v>99.8377786218483</v>
      </c>
    </row>
    <row r="108" spans="1:21" s="4" customFormat="1" ht="13.5" thickBot="1">
      <c r="A108" s="206" t="s">
        <v>104</v>
      </c>
      <c r="B108" s="207"/>
      <c r="C108" s="208"/>
      <c r="D108" s="209">
        <f>SUM(D26,D70,D107)</f>
        <v>1262698</v>
      </c>
      <c r="E108" s="209" t="e">
        <f>SUM(E26,E70,E107)</f>
        <v>#N/A</v>
      </c>
      <c r="F108" s="209">
        <v>26.23</v>
      </c>
      <c r="G108" s="209" t="e">
        <f>SUM(G26,G70,G107)</f>
        <v>#N/A</v>
      </c>
      <c r="H108" s="209">
        <v>47.98</v>
      </c>
      <c r="I108" s="209" t="e">
        <f>SUM(I26,I70,I107)</f>
        <v>#VALUE!</v>
      </c>
      <c r="J108" s="210">
        <v>71.3</v>
      </c>
      <c r="K108" s="211">
        <f>SUM(K26,K70,K107)</f>
        <v>1291907</v>
      </c>
      <c r="L108" s="1548">
        <f>SUM(L26,L107,L70)</f>
        <v>1272308</v>
      </c>
      <c r="M108" s="212">
        <f>SUM(M26,M70,M107)</f>
        <v>352794.43999999994</v>
      </c>
      <c r="N108" s="1549">
        <f>N26+N70+N107</f>
        <v>75934.59</v>
      </c>
      <c r="O108" s="212">
        <f>O26+O70+O107</f>
        <v>1348243</v>
      </c>
      <c r="P108" s="212">
        <f>P107+P70+P26</f>
        <v>681789.66</v>
      </c>
      <c r="Q108" s="212">
        <f>Q107+Q70+Q26</f>
        <v>976984.06</v>
      </c>
      <c r="R108" s="212">
        <f>SUM(R26,R107,R70)</f>
        <v>1370550.23</v>
      </c>
      <c r="S108" s="1549">
        <f>S107-S70-S26</f>
        <v>6534.229999999996</v>
      </c>
      <c r="T108" s="213">
        <f>T107+T70+T26</f>
        <v>1402630.69</v>
      </c>
      <c r="U108" s="1524">
        <f>T108/R108*100</f>
        <v>102.34069932628445</v>
      </c>
    </row>
    <row r="109" spans="11:18" ht="12.75" customHeight="1">
      <c r="K109" s="214"/>
      <c r="R109" s="7"/>
    </row>
    <row r="110" spans="11:18" ht="12.75" customHeight="1" hidden="1">
      <c r="K110" s="215"/>
      <c r="O110" s="7"/>
      <c r="R110" s="7"/>
    </row>
    <row r="111" ht="12.75" customHeight="1" hidden="1">
      <c r="R111" s="7"/>
    </row>
    <row r="112" ht="12.75" customHeight="1" hidden="1">
      <c r="R112" s="7"/>
    </row>
    <row r="113" ht="12.75" customHeight="1" hidden="1">
      <c r="R113" s="7"/>
    </row>
    <row r="114" ht="12.75" customHeight="1" hidden="1">
      <c r="R114" s="7"/>
    </row>
    <row r="115" ht="12.75" customHeight="1" hidden="1">
      <c r="R115" s="7"/>
    </row>
    <row r="116" ht="12.75" customHeight="1" hidden="1">
      <c r="R116" s="7"/>
    </row>
    <row r="117" ht="12.75" customHeight="1" hidden="1">
      <c r="R117" s="7"/>
    </row>
    <row r="118" ht="12.75" customHeight="1" hidden="1">
      <c r="R118" s="7"/>
    </row>
    <row r="119" ht="12.75" customHeight="1" hidden="1">
      <c r="R119" s="7"/>
    </row>
    <row r="120" ht="12.75" customHeight="1" hidden="1">
      <c r="R120" s="7"/>
    </row>
    <row r="121" ht="12.75" customHeight="1" hidden="1">
      <c r="R121" s="7"/>
    </row>
    <row r="122" ht="12.75" customHeight="1" hidden="1">
      <c r="R122" s="7"/>
    </row>
    <row r="123" ht="12.75" customHeight="1" hidden="1">
      <c r="R123" s="7"/>
    </row>
    <row r="124" ht="12.75" customHeight="1" hidden="1">
      <c r="R124" s="7"/>
    </row>
    <row r="125" ht="12.75" customHeight="1" hidden="1">
      <c r="R125" s="7"/>
    </row>
    <row r="126" ht="12.75" customHeight="1" hidden="1">
      <c r="R126" s="7"/>
    </row>
    <row r="127" spans="3:18" ht="12.75" customHeight="1">
      <c r="C127" s="8" t="s">
        <v>105</v>
      </c>
      <c r="R127" s="7"/>
    </row>
    <row r="128" spans="11:18" ht="12.75" customHeight="1">
      <c r="K128" s="1591" t="s">
        <v>50</v>
      </c>
      <c r="L128" s="1591"/>
      <c r="M128" s="1591"/>
      <c r="N128" s="1591"/>
      <c r="O128" s="1591"/>
      <c r="P128" s="1591"/>
      <c r="Q128" s="1591"/>
      <c r="R128" s="1591"/>
    </row>
    <row r="129" ht="12.75" customHeight="1"/>
    <row r="130" spans="1:21" s="5" customFormat="1" ht="39.75" customHeight="1">
      <c r="A130" s="13" t="s">
        <v>105</v>
      </c>
      <c r="B130" s="216"/>
      <c r="C130" s="217"/>
      <c r="D130" s="16" t="s">
        <v>13</v>
      </c>
      <c r="E130" s="16" t="s">
        <v>14</v>
      </c>
      <c r="F130" s="17" t="s">
        <v>15</v>
      </c>
      <c r="G130" s="16" t="s">
        <v>16</v>
      </c>
      <c r="H130" s="17" t="s">
        <v>15</v>
      </c>
      <c r="I130" s="16" t="s">
        <v>17</v>
      </c>
      <c r="J130" s="17" t="s">
        <v>15</v>
      </c>
      <c r="K130" s="16" t="s">
        <v>18</v>
      </c>
      <c r="L130" s="218">
        <v>2012</v>
      </c>
      <c r="M130" s="16" t="s">
        <v>14</v>
      </c>
      <c r="N130" s="19" t="s">
        <v>20</v>
      </c>
      <c r="O130" s="20" t="s">
        <v>21</v>
      </c>
      <c r="P130" s="21" t="s">
        <v>22</v>
      </c>
      <c r="Q130" s="21" t="s">
        <v>23</v>
      </c>
      <c r="R130" s="20" t="s">
        <v>24</v>
      </c>
      <c r="S130" s="19" t="s">
        <v>25</v>
      </c>
      <c r="T130" s="22" t="s">
        <v>26</v>
      </c>
      <c r="U130" s="113" t="s">
        <v>15</v>
      </c>
    </row>
    <row r="131" spans="1:21" ht="12.75">
      <c r="A131" s="45">
        <v>231</v>
      </c>
      <c r="B131" s="46"/>
      <c r="C131" s="219" t="s">
        <v>106</v>
      </c>
      <c r="D131" s="220">
        <v>100</v>
      </c>
      <c r="E131" s="220">
        <v>91</v>
      </c>
      <c r="F131" s="63"/>
      <c r="G131" s="220">
        <v>91</v>
      </c>
      <c r="H131" s="221"/>
      <c r="I131" s="63">
        <v>100</v>
      </c>
      <c r="J131" s="63"/>
      <c r="K131" s="222">
        <v>100</v>
      </c>
      <c r="L131" s="222">
        <v>0</v>
      </c>
      <c r="M131" s="63">
        <v>0</v>
      </c>
      <c r="N131" s="185"/>
      <c r="O131" s="187">
        <v>0</v>
      </c>
      <c r="P131" s="187">
        <v>0</v>
      </c>
      <c r="Q131" s="187"/>
      <c r="R131" s="222">
        <v>0</v>
      </c>
      <c r="S131" s="222"/>
      <c r="T131" s="189"/>
      <c r="U131" s="61"/>
    </row>
    <row r="132" spans="1:21" ht="12.75">
      <c r="A132" s="96">
        <v>233</v>
      </c>
      <c r="B132" s="145"/>
      <c r="C132" s="223" t="s">
        <v>107</v>
      </c>
      <c r="D132" s="185">
        <v>0</v>
      </c>
      <c r="E132" s="185">
        <v>0</v>
      </c>
      <c r="F132" s="185"/>
      <c r="G132" s="185">
        <v>0</v>
      </c>
      <c r="H132" s="224"/>
      <c r="I132" s="185">
        <v>0</v>
      </c>
      <c r="J132" s="185"/>
      <c r="K132" s="131">
        <v>0</v>
      </c>
      <c r="L132" s="131">
        <v>3000</v>
      </c>
      <c r="M132" s="185">
        <v>0</v>
      </c>
      <c r="N132" s="185"/>
      <c r="O132" s="187">
        <v>3000</v>
      </c>
      <c r="P132" s="187">
        <v>0</v>
      </c>
      <c r="Q132" s="187"/>
      <c r="R132" s="222">
        <v>3000</v>
      </c>
      <c r="S132" s="222"/>
      <c r="T132" s="189"/>
      <c r="U132" s="61"/>
    </row>
    <row r="133" spans="1:21" ht="12.75">
      <c r="A133" s="1592" t="s">
        <v>81</v>
      </c>
      <c r="B133" s="1592"/>
      <c r="C133" s="1592"/>
      <c r="D133" s="225">
        <f>SUM(D131,D132)</f>
        <v>100</v>
      </c>
      <c r="E133" s="225">
        <f>SUM(E131,E132)</f>
        <v>91</v>
      </c>
      <c r="F133" s="226">
        <v>0.91</v>
      </c>
      <c r="G133" s="225">
        <v>91</v>
      </c>
      <c r="H133" s="226">
        <v>0.91</v>
      </c>
      <c r="I133" s="225">
        <v>100</v>
      </c>
      <c r="J133" s="226">
        <v>1</v>
      </c>
      <c r="K133" s="227">
        <f>SUM(K131,K132)</f>
        <v>100</v>
      </c>
      <c r="L133" s="227">
        <f>SUM(L131,L132)</f>
        <v>3000</v>
      </c>
      <c r="M133" s="225">
        <v>0</v>
      </c>
      <c r="N133" s="228"/>
      <c r="O133" s="229">
        <f>SUM(O131,O132)</f>
        <v>3000</v>
      </c>
      <c r="P133" s="229">
        <v>0</v>
      </c>
      <c r="Q133" s="229">
        <f>Q131+Q132</f>
        <v>0</v>
      </c>
      <c r="R133" s="230">
        <f>SUM(R131,R132)</f>
        <v>3000</v>
      </c>
      <c r="S133" s="229">
        <v>0</v>
      </c>
      <c r="T133" s="231">
        <f>T131+T132</f>
        <v>0</v>
      </c>
      <c r="U133" s="109">
        <f>T133/R133*100</f>
        <v>0</v>
      </c>
    </row>
    <row r="134" spans="1:11" ht="12.75">
      <c r="A134" s="72"/>
      <c r="B134" s="72"/>
      <c r="C134" s="232"/>
      <c r="D134" s="73"/>
      <c r="E134" s="73"/>
      <c r="F134" s="73"/>
      <c r="G134" s="73"/>
      <c r="H134" s="75"/>
      <c r="I134" s="73"/>
      <c r="J134" s="73"/>
      <c r="K134" s="76"/>
    </row>
    <row r="135" spans="1:18" ht="15.75">
      <c r="A135" s="72"/>
      <c r="B135" s="72"/>
      <c r="C135" s="232"/>
      <c r="D135" s="73"/>
      <c r="E135" s="73"/>
      <c r="F135" s="73"/>
      <c r="G135" s="73"/>
      <c r="H135" s="75"/>
      <c r="I135" s="73"/>
      <c r="J135" s="73"/>
      <c r="K135" s="1591" t="s">
        <v>82</v>
      </c>
      <c r="L135" s="1591"/>
      <c r="M135" s="1591"/>
      <c r="N135" s="1591"/>
      <c r="O135" s="1591"/>
      <c r="P135" s="1591"/>
      <c r="Q135" s="1591"/>
      <c r="R135" s="1591"/>
    </row>
    <row r="136" spans="1:11" ht="12.75">
      <c r="A136" s="72"/>
      <c r="B136" s="72"/>
      <c r="C136" s="232"/>
      <c r="D136" s="73"/>
      <c r="E136" s="73"/>
      <c r="F136" s="73"/>
      <c r="G136" s="73"/>
      <c r="H136" s="75"/>
      <c r="I136" s="73"/>
      <c r="J136" s="73"/>
      <c r="K136" s="76"/>
    </row>
    <row r="137" spans="1:21" ht="39.75" customHeight="1">
      <c r="A137" s="13" t="s">
        <v>105</v>
      </c>
      <c r="B137" s="216"/>
      <c r="C137" s="217"/>
      <c r="D137" s="16" t="s">
        <v>13</v>
      </c>
      <c r="E137" s="16" t="s">
        <v>14</v>
      </c>
      <c r="F137" s="17" t="s">
        <v>15</v>
      </c>
      <c r="G137" s="16" t="s">
        <v>16</v>
      </c>
      <c r="H137" s="17" t="s">
        <v>15</v>
      </c>
      <c r="I137" s="16" t="s">
        <v>17</v>
      </c>
      <c r="J137" s="17" t="s">
        <v>15</v>
      </c>
      <c r="K137" s="16" t="s">
        <v>18</v>
      </c>
      <c r="L137" s="218">
        <v>2012</v>
      </c>
      <c r="M137" s="16" t="s">
        <v>14</v>
      </c>
      <c r="N137" s="19" t="s">
        <v>20</v>
      </c>
      <c r="O137" s="20" t="s">
        <v>21</v>
      </c>
      <c r="P137" s="21" t="s">
        <v>22</v>
      </c>
      <c r="Q137" s="21" t="s">
        <v>23</v>
      </c>
      <c r="R137" s="20" t="s">
        <v>24</v>
      </c>
      <c r="S137" s="19" t="s">
        <v>108</v>
      </c>
      <c r="T137" s="22" t="s">
        <v>26</v>
      </c>
      <c r="U137" s="113" t="s">
        <v>15</v>
      </c>
    </row>
    <row r="138" spans="1:21" ht="12.75">
      <c r="A138" s="45">
        <v>322</v>
      </c>
      <c r="B138" s="46"/>
      <c r="C138" s="219" t="s">
        <v>109</v>
      </c>
      <c r="D138" s="62">
        <v>0</v>
      </c>
      <c r="E138" s="62">
        <v>0</v>
      </c>
      <c r="F138" s="62"/>
      <c r="G138" s="62"/>
      <c r="H138" s="64"/>
      <c r="I138" s="62">
        <v>0</v>
      </c>
      <c r="J138" s="186"/>
      <c r="K138" s="222">
        <v>0</v>
      </c>
      <c r="L138" s="187">
        <v>0</v>
      </c>
      <c r="M138" s="186">
        <v>0</v>
      </c>
      <c r="N138" s="187"/>
      <c r="O138" s="187">
        <v>0</v>
      </c>
      <c r="P138" s="187"/>
      <c r="Q138" s="187">
        <v>0</v>
      </c>
      <c r="R138" s="187">
        <v>0</v>
      </c>
      <c r="S138" s="187"/>
      <c r="T138" s="189">
        <v>0</v>
      </c>
      <c r="U138" s="61"/>
    </row>
    <row r="139" spans="1:21" ht="12.75">
      <c r="A139" s="45">
        <v>322</v>
      </c>
      <c r="B139" s="46"/>
      <c r="C139" s="219" t="s">
        <v>110</v>
      </c>
      <c r="D139" s="63">
        <v>179355</v>
      </c>
      <c r="E139" s="63">
        <v>0</v>
      </c>
      <c r="F139" s="62"/>
      <c r="G139" s="63"/>
      <c r="H139" s="90"/>
      <c r="I139" s="62">
        <v>179355</v>
      </c>
      <c r="J139" s="233"/>
      <c r="K139" s="131">
        <v>179355</v>
      </c>
      <c r="L139" s="186">
        <v>0</v>
      </c>
      <c r="M139" s="186"/>
      <c r="N139" s="187"/>
      <c r="O139" s="186">
        <v>0</v>
      </c>
      <c r="P139" s="186"/>
      <c r="Q139" s="187">
        <v>0</v>
      </c>
      <c r="R139" s="187">
        <v>0</v>
      </c>
      <c r="S139" s="187"/>
      <c r="T139" s="189">
        <v>0</v>
      </c>
      <c r="U139" s="234"/>
    </row>
    <row r="140" spans="1:21" ht="12.75">
      <c r="A140" s="45">
        <v>322</v>
      </c>
      <c r="B140" s="46"/>
      <c r="C140" s="219" t="s">
        <v>111</v>
      </c>
      <c r="D140" s="62">
        <v>0</v>
      </c>
      <c r="E140" s="62">
        <v>0</v>
      </c>
      <c r="F140" s="62"/>
      <c r="G140" s="62"/>
      <c r="H140" s="64"/>
      <c r="I140" s="62"/>
      <c r="J140" s="186"/>
      <c r="K140" s="235">
        <v>0</v>
      </c>
      <c r="L140" s="237">
        <v>50000</v>
      </c>
      <c r="M140" s="233"/>
      <c r="N140" s="186"/>
      <c r="O140" s="237">
        <v>50000</v>
      </c>
      <c r="P140" s="237"/>
      <c r="Q140" s="186">
        <v>0</v>
      </c>
      <c r="R140" s="187">
        <v>0</v>
      </c>
      <c r="S140" s="304">
        <v>50000</v>
      </c>
      <c r="T140" s="233">
        <v>0</v>
      </c>
      <c r="U140" s="61"/>
    </row>
    <row r="141" spans="1:21" ht="12.75">
      <c r="A141" s="45">
        <v>322</v>
      </c>
      <c r="B141" s="46"/>
      <c r="C141" s="219" t="s">
        <v>112</v>
      </c>
      <c r="D141" s="62">
        <v>454325</v>
      </c>
      <c r="E141" s="62">
        <v>0</v>
      </c>
      <c r="F141" s="62"/>
      <c r="G141" s="62"/>
      <c r="H141" s="64"/>
      <c r="I141" s="62"/>
      <c r="J141" s="186"/>
      <c r="K141" s="238">
        <v>489564</v>
      </c>
      <c r="L141" s="187">
        <v>180000</v>
      </c>
      <c r="M141" s="186">
        <v>133979.92</v>
      </c>
      <c r="N141" s="187"/>
      <c r="O141" s="187">
        <v>180000</v>
      </c>
      <c r="P141" s="187">
        <v>133979.92</v>
      </c>
      <c r="Q141" s="187">
        <v>179660.04</v>
      </c>
      <c r="R141" s="187">
        <v>179660.04</v>
      </c>
      <c r="S141" s="304">
        <v>339.96</v>
      </c>
      <c r="T141" s="189">
        <v>179660.04</v>
      </c>
      <c r="U141" s="61"/>
    </row>
    <row r="142" spans="1:21" ht="12.75">
      <c r="A142" s="45">
        <v>332</v>
      </c>
      <c r="B142" s="46"/>
      <c r="C142" s="219" t="s">
        <v>113</v>
      </c>
      <c r="D142" s="62">
        <v>0</v>
      </c>
      <c r="E142" s="62">
        <v>0</v>
      </c>
      <c r="F142" s="62"/>
      <c r="G142" s="62"/>
      <c r="H142" s="64"/>
      <c r="I142" s="62"/>
      <c r="J142" s="186"/>
      <c r="K142" s="62">
        <v>0</v>
      </c>
      <c r="L142" s="186">
        <v>310744</v>
      </c>
      <c r="M142" s="186"/>
      <c r="N142" s="187"/>
      <c r="O142" s="186">
        <v>310744</v>
      </c>
      <c r="P142" s="187">
        <v>119317.84</v>
      </c>
      <c r="Q142" s="187">
        <v>119317.84</v>
      </c>
      <c r="R142" s="187">
        <v>200000</v>
      </c>
      <c r="S142" s="304">
        <v>110744</v>
      </c>
      <c r="T142" s="189">
        <v>200743.19</v>
      </c>
      <c r="U142" s="61"/>
    </row>
    <row r="143" spans="1:21" ht="12.75">
      <c r="A143" s="45">
        <v>332</v>
      </c>
      <c r="B143" s="46"/>
      <c r="C143" s="47" t="s">
        <v>114</v>
      </c>
      <c r="D143" s="63">
        <v>51000</v>
      </c>
      <c r="E143" s="63">
        <v>0</v>
      </c>
      <c r="F143" s="63"/>
      <c r="G143" s="63">
        <v>51847</v>
      </c>
      <c r="H143" s="90"/>
      <c r="I143" s="63">
        <v>51847</v>
      </c>
      <c r="J143" s="66"/>
      <c r="K143" s="239">
        <v>51846</v>
      </c>
      <c r="L143" s="241">
        <v>41000</v>
      </c>
      <c r="M143" s="67"/>
      <c r="N143" s="279">
        <v>7000</v>
      </c>
      <c r="O143" s="241">
        <v>34000</v>
      </c>
      <c r="P143" s="237">
        <v>34114.85</v>
      </c>
      <c r="Q143" s="237">
        <v>34114.85</v>
      </c>
      <c r="R143" s="187">
        <v>34114.85</v>
      </c>
      <c r="S143" s="302">
        <v>114.85</v>
      </c>
      <c r="T143" s="242">
        <v>34114.85</v>
      </c>
      <c r="U143" s="61"/>
    </row>
    <row r="144" spans="1:21" ht="12.75">
      <c r="A144" s="45">
        <v>322</v>
      </c>
      <c r="B144" s="46"/>
      <c r="C144" s="47" t="s">
        <v>115</v>
      </c>
      <c r="D144" s="149"/>
      <c r="E144" s="183"/>
      <c r="F144" s="183"/>
      <c r="G144" s="183"/>
      <c r="H144" s="184"/>
      <c r="I144" s="183"/>
      <c r="J144" s="151"/>
      <c r="K144" s="131"/>
      <c r="L144" s="186"/>
      <c r="M144" s="150"/>
      <c r="N144" s="302">
        <v>5000</v>
      </c>
      <c r="O144" s="186">
        <v>5000</v>
      </c>
      <c r="P144" s="187">
        <v>5000</v>
      </c>
      <c r="Q144" s="187">
        <v>5000</v>
      </c>
      <c r="R144" s="187">
        <v>5000</v>
      </c>
      <c r="S144" s="187"/>
      <c r="T144" s="189">
        <v>5000</v>
      </c>
      <c r="U144" s="61"/>
    </row>
    <row r="145" spans="1:21" ht="12.75">
      <c r="A145" s="45">
        <v>332</v>
      </c>
      <c r="B145" s="46"/>
      <c r="C145" s="47" t="s">
        <v>116</v>
      </c>
      <c r="D145" s="149"/>
      <c r="E145" s="183"/>
      <c r="F145" s="183"/>
      <c r="G145" s="183"/>
      <c r="H145" s="184"/>
      <c r="I145" s="183"/>
      <c r="J145" s="151"/>
      <c r="K145" s="131"/>
      <c r="L145" s="186"/>
      <c r="M145" s="150"/>
      <c r="N145" s="187"/>
      <c r="O145" s="186"/>
      <c r="P145" s="187"/>
      <c r="Q145" s="187"/>
      <c r="R145" s="187"/>
      <c r="S145" s="304"/>
      <c r="T145" s="189"/>
      <c r="U145" s="61"/>
    </row>
    <row r="146" spans="1:21" ht="12.75">
      <c r="A146" s="45">
        <v>332</v>
      </c>
      <c r="B146" s="46"/>
      <c r="C146" s="47" t="s">
        <v>117</v>
      </c>
      <c r="D146" s="149"/>
      <c r="E146" s="183"/>
      <c r="F146" s="183"/>
      <c r="G146" s="183"/>
      <c r="H146" s="184"/>
      <c r="I146" s="183"/>
      <c r="J146" s="151"/>
      <c r="K146" s="131"/>
      <c r="L146" s="186"/>
      <c r="M146" s="150"/>
      <c r="N146" s="187"/>
      <c r="O146" s="186"/>
      <c r="P146" s="187"/>
      <c r="Q146" s="186"/>
      <c r="R146" s="187"/>
      <c r="S146" s="187"/>
      <c r="T146" s="233"/>
      <c r="U146" s="61"/>
    </row>
    <row r="147" spans="1:21" ht="12.75">
      <c r="A147" s="45">
        <v>332</v>
      </c>
      <c r="B147" s="46"/>
      <c r="C147" s="47"/>
      <c r="D147" s="77"/>
      <c r="E147" s="77"/>
      <c r="F147" s="77"/>
      <c r="G147" s="77"/>
      <c r="H147" s="111"/>
      <c r="I147" s="77"/>
      <c r="J147" s="190"/>
      <c r="K147" s="243"/>
      <c r="L147" s="237"/>
      <c r="M147" s="190"/>
      <c r="N147" s="302"/>
      <c r="O147" s="237"/>
      <c r="P147" s="186"/>
      <c r="Q147" s="237"/>
      <c r="R147" s="187"/>
      <c r="S147" s="187"/>
      <c r="T147" s="242"/>
      <c r="U147" s="61"/>
    </row>
    <row r="148" spans="1:21" ht="13.5" thickBot="1">
      <c r="A148" s="1595" t="s">
        <v>103</v>
      </c>
      <c r="B148" s="1595"/>
      <c r="C148" s="1595"/>
      <c r="D148" s="203">
        <f>SUM(D138,D139,D140,D141,D142,D143)</f>
        <v>684680</v>
      </c>
      <c r="E148" s="203">
        <v>0</v>
      </c>
      <c r="F148" s="203">
        <v>0</v>
      </c>
      <c r="G148" s="203">
        <v>51847</v>
      </c>
      <c r="H148" s="203">
        <v>4.1</v>
      </c>
      <c r="I148" s="203">
        <f>SUM(I138,I139,I140,I141,I142,I143)</f>
        <v>231202</v>
      </c>
      <c r="J148" s="203">
        <v>18.27</v>
      </c>
      <c r="K148" s="244">
        <f>SUM(K138,K139,K140,K141,K142,K143)</f>
        <v>720765</v>
      </c>
      <c r="L148" s="245">
        <f>SUM(L138,L139,L140,L141,L142,L143)</f>
        <v>581744</v>
      </c>
      <c r="M148" s="204">
        <f>SUM(M138,M139,M140,M141,M142,M143)</f>
        <v>133979.92</v>
      </c>
      <c r="N148" s="285">
        <f>N143-N144</f>
        <v>2000</v>
      </c>
      <c r="O148" s="245">
        <f>SUM(O138,O139,O140,O141,O142,O143,O144,O145,O146,O147)</f>
        <v>579744</v>
      </c>
      <c r="P148" s="245">
        <f>SUM(P138:P147)</f>
        <v>292412.61</v>
      </c>
      <c r="Q148" s="245">
        <f>SUM(Q138:Q147)</f>
        <v>338092.73</v>
      </c>
      <c r="R148" s="245">
        <f>SUM(R138,R139,R140,R141,R142,R143,R144)</f>
        <v>418774.89</v>
      </c>
      <c r="S148" s="285">
        <f>S140+S141+S142-S143</f>
        <v>160969.11</v>
      </c>
      <c r="T148" s="246">
        <f>SUM(T138:T147)</f>
        <v>419518.07999999996</v>
      </c>
      <c r="U148" s="1523">
        <f>T148/R148*100</f>
        <v>100.17746766048938</v>
      </c>
    </row>
    <row r="149" spans="1:21" ht="13.5" thickBot="1">
      <c r="A149" s="206" t="s">
        <v>118</v>
      </c>
      <c r="B149" s="247"/>
      <c r="C149" s="208"/>
      <c r="D149" s="209">
        <f>D131+D132+D138+D139+D140+D142+D143+D141</f>
        <v>684780</v>
      </c>
      <c r="E149" s="209">
        <v>91</v>
      </c>
      <c r="F149" s="212">
        <v>0.01</v>
      </c>
      <c r="G149" s="209">
        <v>51932</v>
      </c>
      <c r="H149" s="212">
        <v>4.08</v>
      </c>
      <c r="I149" s="209">
        <f>SUM(I133,I148)</f>
        <v>231302</v>
      </c>
      <c r="J149" s="212">
        <v>18.14</v>
      </c>
      <c r="K149" s="248">
        <f>SUM(K133,K148)</f>
        <v>720865</v>
      </c>
      <c r="L149" s="249">
        <f>SUM(L133,L148)</f>
        <v>584744</v>
      </c>
      <c r="M149" s="212">
        <f>SUM(M133,M148)</f>
        <v>133979.92</v>
      </c>
      <c r="N149" s="1550">
        <f>N148</f>
        <v>2000</v>
      </c>
      <c r="O149" s="249">
        <f>SUM(O133,O148)</f>
        <v>582744</v>
      </c>
      <c r="P149" s="249">
        <f>P148</f>
        <v>292412.61</v>
      </c>
      <c r="Q149" s="249">
        <f>Q148+Q133</f>
        <v>338092.73</v>
      </c>
      <c r="R149" s="249">
        <f>SUM(R133,R148)</f>
        <v>421774.89</v>
      </c>
      <c r="S149" s="1550">
        <f>S133+S148</f>
        <v>160969.11</v>
      </c>
      <c r="T149" s="251">
        <f>T148+T133</f>
        <v>419518.07999999996</v>
      </c>
      <c r="U149" s="1524">
        <f>T149/R149*100</f>
        <v>99.4649254724481</v>
      </c>
    </row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5.75">
      <c r="C173" s="8" t="s">
        <v>119</v>
      </c>
    </row>
    <row r="174" ht="15.75">
      <c r="C174" s="252"/>
    </row>
    <row r="175" spans="3:20" ht="15.75">
      <c r="C175" s="252"/>
      <c r="I175" s="1596" t="s">
        <v>120</v>
      </c>
      <c r="J175" s="1596"/>
      <c r="K175" s="1596"/>
      <c r="L175" s="1596"/>
      <c r="M175" s="1596"/>
      <c r="N175" s="1596"/>
      <c r="O175" s="1596"/>
      <c r="P175" s="1596"/>
      <c r="Q175" s="1596"/>
      <c r="R175" s="1596"/>
      <c r="S175" s="1596"/>
      <c r="T175" s="1596"/>
    </row>
    <row r="177" spans="1:21" ht="39.75" customHeight="1">
      <c r="A177" s="13" t="s">
        <v>119</v>
      </c>
      <c r="B177" s="216"/>
      <c r="C177" s="217"/>
      <c r="D177" s="16" t="s">
        <v>13</v>
      </c>
      <c r="E177" s="16" t="s">
        <v>14</v>
      </c>
      <c r="F177" s="17" t="s">
        <v>15</v>
      </c>
      <c r="G177" s="16" t="s">
        <v>16</v>
      </c>
      <c r="H177" s="17" t="s">
        <v>15</v>
      </c>
      <c r="I177" s="16" t="s">
        <v>17</v>
      </c>
      <c r="J177" s="17" t="s">
        <v>15</v>
      </c>
      <c r="K177" s="16" t="s">
        <v>18</v>
      </c>
      <c r="L177" s="218">
        <v>2012</v>
      </c>
      <c r="M177" s="16" t="s">
        <v>14</v>
      </c>
      <c r="N177" s="19" t="s">
        <v>20</v>
      </c>
      <c r="O177" s="20" t="s">
        <v>21</v>
      </c>
      <c r="P177" s="21" t="s">
        <v>22</v>
      </c>
      <c r="Q177" s="21" t="s">
        <v>23</v>
      </c>
      <c r="R177" s="20" t="s">
        <v>24</v>
      </c>
      <c r="S177" s="19" t="s">
        <v>25</v>
      </c>
      <c r="T177" s="22" t="s">
        <v>26</v>
      </c>
      <c r="U177" s="113" t="s">
        <v>15</v>
      </c>
    </row>
    <row r="178" spans="1:21" ht="12.75">
      <c r="A178" s="45">
        <v>453</v>
      </c>
      <c r="B178" s="46"/>
      <c r="C178" s="47" t="s">
        <v>121</v>
      </c>
      <c r="D178" s="220">
        <v>0</v>
      </c>
      <c r="E178" s="220">
        <v>0</v>
      </c>
      <c r="F178" s="253"/>
      <c r="G178" s="220">
        <v>0</v>
      </c>
      <c r="H178" s="254"/>
      <c r="I178" s="220">
        <v>0</v>
      </c>
      <c r="J178" s="253"/>
      <c r="K178" s="220">
        <v>0</v>
      </c>
      <c r="L178" s="131"/>
      <c r="M178" s="220">
        <v>0</v>
      </c>
      <c r="N178" s="62"/>
      <c r="O178" s="131">
        <v>0</v>
      </c>
      <c r="P178" s="131"/>
      <c r="Q178" s="131"/>
      <c r="R178" s="131"/>
      <c r="S178" s="131"/>
      <c r="T178" s="45"/>
      <c r="U178" s="61"/>
    </row>
    <row r="179" spans="1:21" ht="12.75">
      <c r="A179" s="45">
        <v>454</v>
      </c>
      <c r="B179" s="46" t="s">
        <v>31</v>
      </c>
      <c r="C179" s="47" t="s">
        <v>122</v>
      </c>
      <c r="D179" s="63">
        <v>0</v>
      </c>
      <c r="E179" s="63">
        <v>0</v>
      </c>
      <c r="F179" s="253"/>
      <c r="G179" s="63">
        <v>0</v>
      </c>
      <c r="H179" s="90"/>
      <c r="I179" s="220">
        <v>0</v>
      </c>
      <c r="J179" s="253"/>
      <c r="K179" s="63">
        <v>0</v>
      </c>
      <c r="L179" s="239"/>
      <c r="M179" s="220">
        <v>0</v>
      </c>
      <c r="N179" s="255"/>
      <c r="O179" s="239">
        <v>0</v>
      </c>
      <c r="P179" s="239"/>
      <c r="Q179" s="239"/>
      <c r="R179" s="131"/>
      <c r="S179" s="131"/>
      <c r="T179" s="256"/>
      <c r="U179" s="61"/>
    </row>
    <row r="180" spans="1:21" ht="12.75">
      <c r="A180" s="96">
        <v>454</v>
      </c>
      <c r="B180" s="145" t="s">
        <v>34</v>
      </c>
      <c r="C180" s="257" t="s">
        <v>123</v>
      </c>
      <c r="D180" s="258">
        <v>0</v>
      </c>
      <c r="E180" s="258">
        <v>0</v>
      </c>
      <c r="F180" s="259"/>
      <c r="G180" s="258">
        <v>0</v>
      </c>
      <c r="H180" s="260"/>
      <c r="I180" s="258">
        <v>0</v>
      </c>
      <c r="J180" s="259"/>
      <c r="K180" s="258">
        <v>0</v>
      </c>
      <c r="L180" s="243"/>
      <c r="M180" s="258">
        <v>0</v>
      </c>
      <c r="N180" s="261"/>
      <c r="O180" s="243">
        <v>0</v>
      </c>
      <c r="P180" s="243"/>
      <c r="Q180" s="243"/>
      <c r="R180" s="131"/>
      <c r="S180" s="131"/>
      <c r="T180" s="262"/>
      <c r="U180" s="61"/>
    </row>
    <row r="181" spans="1:21" ht="12.75">
      <c r="A181" s="263" t="s">
        <v>124</v>
      </c>
      <c r="B181" s="264"/>
      <c r="C181" s="265"/>
      <c r="D181" s="103">
        <v>0</v>
      </c>
      <c r="E181" s="103">
        <v>0</v>
      </c>
      <c r="F181" s="227"/>
      <c r="G181" s="266">
        <v>0</v>
      </c>
      <c r="H181" s="266"/>
      <c r="I181" s="227">
        <v>0</v>
      </c>
      <c r="J181" s="227"/>
      <c r="K181" s="103">
        <v>0</v>
      </c>
      <c r="L181" s="227">
        <f>SUM(L178,L179,L180)</f>
        <v>0</v>
      </c>
      <c r="M181" s="227">
        <v>0</v>
      </c>
      <c r="N181" s="225"/>
      <c r="O181" s="227">
        <f>SUM(O178,O179,O180)</f>
        <v>0</v>
      </c>
      <c r="P181" s="227">
        <v>0</v>
      </c>
      <c r="Q181" s="227"/>
      <c r="R181" s="227">
        <f>SUM(R178,R179,R180)</f>
        <v>0</v>
      </c>
      <c r="S181" s="227">
        <v>0</v>
      </c>
      <c r="T181" s="267"/>
      <c r="U181" s="268">
        <v>0</v>
      </c>
    </row>
    <row r="182" spans="1:11" ht="12.75">
      <c r="A182" s="72"/>
      <c r="B182" s="72"/>
      <c r="C182" s="72"/>
      <c r="D182" s="232"/>
      <c r="E182" s="232"/>
      <c r="F182" s="232"/>
      <c r="G182" s="232"/>
      <c r="H182" s="269"/>
      <c r="I182" s="232"/>
      <c r="J182" s="232"/>
      <c r="K182" s="76"/>
    </row>
    <row r="183" spans="1:20" ht="12.75">
      <c r="A183" s="72"/>
      <c r="B183" s="72"/>
      <c r="C183" s="72"/>
      <c r="D183" s="232"/>
      <c r="E183" s="232"/>
      <c r="F183" s="232"/>
      <c r="G183" s="270" t="s">
        <v>125</v>
      </c>
      <c r="H183" s="270"/>
      <c r="I183" s="270"/>
      <c r="J183" s="271"/>
      <c r="K183" s="272"/>
      <c r="L183" s="270" t="s">
        <v>126</v>
      </c>
      <c r="M183" s="270"/>
      <c r="N183" s="273"/>
      <c r="O183" s="270"/>
      <c r="P183" s="270"/>
      <c r="Q183" s="270"/>
      <c r="R183" s="270"/>
      <c r="T183" s="270"/>
    </row>
    <row r="184" spans="1:11" ht="12.75">
      <c r="A184" s="72"/>
      <c r="B184" s="72"/>
      <c r="C184" s="72"/>
      <c r="D184" s="232"/>
      <c r="E184" s="232"/>
      <c r="F184" s="232"/>
      <c r="G184" s="232"/>
      <c r="H184" s="269"/>
      <c r="I184" s="232"/>
      <c r="J184" s="232"/>
      <c r="K184" s="76"/>
    </row>
    <row r="185" spans="1:21" ht="39.75" customHeight="1">
      <c r="A185" s="13" t="s">
        <v>119</v>
      </c>
      <c r="B185" s="216"/>
      <c r="C185" s="217"/>
      <c r="D185" s="16" t="s">
        <v>13</v>
      </c>
      <c r="E185" s="16" t="s">
        <v>14</v>
      </c>
      <c r="F185" s="17" t="s">
        <v>15</v>
      </c>
      <c r="G185" s="16" t="s">
        <v>16</v>
      </c>
      <c r="H185" s="17" t="s">
        <v>15</v>
      </c>
      <c r="I185" s="16" t="s">
        <v>17</v>
      </c>
      <c r="J185" s="17" t="s">
        <v>15</v>
      </c>
      <c r="K185" s="274" t="s">
        <v>18</v>
      </c>
      <c r="L185" s="164">
        <v>2012</v>
      </c>
      <c r="M185" s="275" t="s">
        <v>14</v>
      </c>
      <c r="N185" s="19" t="s">
        <v>20</v>
      </c>
      <c r="O185" s="20" t="s">
        <v>21</v>
      </c>
      <c r="P185" s="21" t="s">
        <v>22</v>
      </c>
      <c r="Q185" s="21" t="s">
        <v>23</v>
      </c>
      <c r="R185" s="20" t="s">
        <v>24</v>
      </c>
      <c r="S185" s="19" t="s">
        <v>25</v>
      </c>
      <c r="T185" s="22" t="s">
        <v>26</v>
      </c>
      <c r="U185" s="113" t="s">
        <v>15</v>
      </c>
    </row>
    <row r="186" spans="1:21" ht="12.75">
      <c r="A186" s="45">
        <v>513</v>
      </c>
      <c r="B186" s="46" t="s">
        <v>34</v>
      </c>
      <c r="C186" s="47" t="s">
        <v>127</v>
      </c>
      <c r="D186" s="63">
        <v>0</v>
      </c>
      <c r="E186" s="63">
        <v>246629</v>
      </c>
      <c r="F186" s="276"/>
      <c r="G186" s="63">
        <v>246629</v>
      </c>
      <c r="H186" s="277"/>
      <c r="I186" s="63">
        <v>246629</v>
      </c>
      <c r="J186" s="276"/>
      <c r="K186" s="63">
        <v>246629</v>
      </c>
      <c r="L186" s="261">
        <v>310000</v>
      </c>
      <c r="M186" s="63">
        <v>140503.28</v>
      </c>
      <c r="N186" s="173"/>
      <c r="O186" s="278">
        <v>310000</v>
      </c>
      <c r="P186" s="278">
        <v>240110.47</v>
      </c>
      <c r="Q186" s="278">
        <v>240110.47</v>
      </c>
      <c r="R186" s="186">
        <v>310000</v>
      </c>
      <c r="S186" s="279"/>
      <c r="T186" s="280">
        <v>310000</v>
      </c>
      <c r="U186" s="61"/>
    </row>
    <row r="187" spans="1:21" ht="12.75">
      <c r="A187" s="96">
        <v>514</v>
      </c>
      <c r="B187" s="145" t="s">
        <v>34</v>
      </c>
      <c r="C187" s="257" t="s">
        <v>128</v>
      </c>
      <c r="D187" s="48">
        <v>0</v>
      </c>
      <c r="E187" s="48">
        <v>0</v>
      </c>
      <c r="F187" s="281"/>
      <c r="G187" s="281">
        <v>0</v>
      </c>
      <c r="H187" s="282"/>
      <c r="I187" s="48">
        <v>0</v>
      </c>
      <c r="J187" s="281"/>
      <c r="K187" s="148">
        <v>0</v>
      </c>
      <c r="L187" s="62">
        <v>0</v>
      </c>
      <c r="M187" s="283">
        <v>0</v>
      </c>
      <c r="N187" s="261"/>
      <c r="O187" s="237">
        <v>0</v>
      </c>
      <c r="P187" s="261"/>
      <c r="Q187" s="261">
        <v>0</v>
      </c>
      <c r="R187" s="237">
        <v>0</v>
      </c>
      <c r="S187" s="186"/>
      <c r="T187" s="284">
        <v>0</v>
      </c>
      <c r="U187" s="61"/>
    </row>
    <row r="188" spans="1:21" ht="13.5" thickBot="1">
      <c r="A188" s="263" t="s">
        <v>125</v>
      </c>
      <c r="B188" s="264"/>
      <c r="C188" s="265"/>
      <c r="D188" s="225">
        <v>0</v>
      </c>
      <c r="E188" s="225">
        <v>246629</v>
      </c>
      <c r="F188" s="225"/>
      <c r="G188" s="225">
        <v>246629</v>
      </c>
      <c r="H188" s="225"/>
      <c r="I188" s="225">
        <v>246629</v>
      </c>
      <c r="J188" s="225"/>
      <c r="K188" s="225">
        <v>246629</v>
      </c>
      <c r="L188" s="244">
        <f>SUM(L186,L187)</f>
        <v>310000</v>
      </c>
      <c r="M188" s="225">
        <f>M186+M187</f>
        <v>140503.28</v>
      </c>
      <c r="N188" s="244"/>
      <c r="O188" s="245">
        <f>SUM(O186,O187)</f>
        <v>310000</v>
      </c>
      <c r="P188" s="245">
        <f>P186+P187</f>
        <v>240110.47</v>
      </c>
      <c r="Q188" s="245">
        <f>Q186+Q187</f>
        <v>240110.47</v>
      </c>
      <c r="R188" s="245">
        <f>SUM(R186,R187)</f>
        <v>310000</v>
      </c>
      <c r="S188" s="285"/>
      <c r="T188" s="246">
        <f>T186+T187</f>
        <v>310000</v>
      </c>
      <c r="U188" s="1525">
        <f>T188/R188*100</f>
        <v>100</v>
      </c>
    </row>
    <row r="189" spans="1:21" ht="13.5" thickBot="1">
      <c r="A189" s="206" t="s">
        <v>119</v>
      </c>
      <c r="B189" s="247"/>
      <c r="C189" s="208"/>
      <c r="D189" s="248">
        <v>0</v>
      </c>
      <c r="E189" s="248">
        <v>246629</v>
      </c>
      <c r="F189" s="209"/>
      <c r="G189" s="248">
        <v>246629</v>
      </c>
      <c r="H189" s="248"/>
      <c r="I189" s="209">
        <v>246629</v>
      </c>
      <c r="J189" s="209"/>
      <c r="K189" s="248">
        <v>246629</v>
      </c>
      <c r="L189" s="248">
        <f>SUM(L181,L188)</f>
        <v>310000</v>
      </c>
      <c r="M189" s="209">
        <f>M188</f>
        <v>140503.28</v>
      </c>
      <c r="N189" s="248">
        <v>0</v>
      </c>
      <c r="O189" s="249">
        <f>SUM(O181,O188)</f>
        <v>310000</v>
      </c>
      <c r="P189" s="249">
        <f>P188</f>
        <v>240110.47</v>
      </c>
      <c r="Q189" s="249">
        <f>Q181+Q188</f>
        <v>240110.47</v>
      </c>
      <c r="R189" s="249">
        <f>SUM(R181,R188)</f>
        <v>310000</v>
      </c>
      <c r="S189" s="249">
        <v>0</v>
      </c>
      <c r="T189" s="251">
        <f>T181+T188</f>
        <v>310000</v>
      </c>
      <c r="U189" s="1526">
        <f>T189/R189*100</f>
        <v>100</v>
      </c>
    </row>
    <row r="190" spans="1:20" ht="12.75">
      <c r="A190" s="286"/>
      <c r="B190" s="5"/>
      <c r="C190" s="286"/>
      <c r="D190" s="286"/>
      <c r="E190" s="286"/>
      <c r="F190" s="287"/>
      <c r="G190" s="286"/>
      <c r="H190" s="286"/>
      <c r="I190" s="287"/>
      <c r="J190" s="287"/>
      <c r="K190" s="288"/>
      <c r="L190" s="5"/>
      <c r="M190" s="5"/>
      <c r="N190" s="182"/>
      <c r="O190" s="5"/>
      <c r="P190" s="5"/>
      <c r="Q190" s="5"/>
      <c r="R190" s="5"/>
      <c r="T190" s="5"/>
    </row>
    <row r="191" spans="1:20" ht="12.75" hidden="1">
      <c r="A191" s="286"/>
      <c r="B191" s="5"/>
      <c r="C191" s="286"/>
      <c r="D191" s="286"/>
      <c r="E191" s="286"/>
      <c r="F191" s="287"/>
      <c r="G191" s="286"/>
      <c r="H191" s="286"/>
      <c r="I191" s="287"/>
      <c r="J191" s="287"/>
      <c r="K191" s="288"/>
      <c r="L191" s="5"/>
      <c r="M191" s="5"/>
      <c r="N191" s="182"/>
      <c r="O191" s="5"/>
      <c r="P191" s="5"/>
      <c r="Q191" s="5"/>
      <c r="R191" s="5"/>
      <c r="T191" s="5"/>
    </row>
    <row r="192" spans="1:20" ht="12.75" hidden="1">
      <c r="A192" s="286"/>
      <c r="B192" s="5"/>
      <c r="C192" s="286"/>
      <c r="D192" s="286"/>
      <c r="E192" s="286"/>
      <c r="F192" s="287"/>
      <c r="G192" s="286"/>
      <c r="H192" s="286"/>
      <c r="I192" s="287"/>
      <c r="J192" s="287"/>
      <c r="K192" s="288"/>
      <c r="L192" s="5"/>
      <c r="M192" s="5"/>
      <c r="N192" s="182"/>
      <c r="O192" s="5"/>
      <c r="P192" s="5"/>
      <c r="Q192" s="5"/>
      <c r="R192" s="5"/>
      <c r="T192" s="5"/>
    </row>
    <row r="193" spans="1:11" ht="12.75" hidden="1">
      <c r="A193" s="72"/>
      <c r="B193" s="72"/>
      <c r="C193" s="72"/>
      <c r="D193" s="72"/>
      <c r="E193" s="72"/>
      <c r="F193" s="72"/>
      <c r="G193" s="72"/>
      <c r="H193" s="289"/>
      <c r="I193" s="72"/>
      <c r="J193" s="72"/>
      <c r="K193" s="76"/>
    </row>
    <row r="194" spans="1:11" ht="15.75">
      <c r="A194" s="72"/>
      <c r="B194" s="72"/>
      <c r="C194" s="8" t="s">
        <v>129</v>
      </c>
      <c r="D194" s="290"/>
      <c r="E194" s="290"/>
      <c r="F194" s="72"/>
      <c r="G194" s="72"/>
      <c r="H194" s="289"/>
      <c r="I194" s="72"/>
      <c r="J194" s="72"/>
      <c r="K194" s="291"/>
    </row>
    <row r="195" spans="1:11" ht="12.75">
      <c r="A195" s="72"/>
      <c r="B195" s="72"/>
      <c r="C195" s="72"/>
      <c r="D195" s="72"/>
      <c r="E195" s="72"/>
      <c r="F195" s="72"/>
      <c r="G195" s="72"/>
      <c r="H195" s="289"/>
      <c r="I195" s="72"/>
      <c r="J195" s="72"/>
      <c r="K195" s="76"/>
    </row>
    <row r="196" spans="1:21" ht="39.75" customHeight="1">
      <c r="A196" s="13"/>
      <c r="B196" s="216"/>
      <c r="C196" s="217"/>
      <c r="D196" s="16" t="s">
        <v>13</v>
      </c>
      <c r="E196" s="16" t="s">
        <v>14</v>
      </c>
      <c r="F196" s="17" t="s">
        <v>15</v>
      </c>
      <c r="G196" s="16" t="s">
        <v>16</v>
      </c>
      <c r="H196" s="17" t="s">
        <v>15</v>
      </c>
      <c r="I196" s="16" t="s">
        <v>17</v>
      </c>
      <c r="J196" s="17" t="s">
        <v>15</v>
      </c>
      <c r="K196" s="16" t="s">
        <v>18</v>
      </c>
      <c r="L196" s="218">
        <v>2012</v>
      </c>
      <c r="M196" s="16" t="s">
        <v>14</v>
      </c>
      <c r="N196" s="19" t="s">
        <v>20</v>
      </c>
      <c r="O196" s="20" t="s">
        <v>21</v>
      </c>
      <c r="P196" s="21" t="s">
        <v>22</v>
      </c>
      <c r="Q196" s="21" t="s">
        <v>23</v>
      </c>
      <c r="R196" s="20" t="s">
        <v>24</v>
      </c>
      <c r="S196" s="19" t="s">
        <v>25</v>
      </c>
      <c r="T196" s="22" t="s">
        <v>26</v>
      </c>
      <c r="U196" s="113" t="s">
        <v>15</v>
      </c>
    </row>
    <row r="197" spans="1:21" ht="12.75">
      <c r="A197" s="1597" t="s">
        <v>130</v>
      </c>
      <c r="B197" s="1597"/>
      <c r="C197" s="1597"/>
      <c r="D197" s="62">
        <v>0</v>
      </c>
      <c r="E197" s="62">
        <v>0</v>
      </c>
      <c r="F197" s="62"/>
      <c r="G197" s="62">
        <v>0</v>
      </c>
      <c r="H197" s="64"/>
      <c r="I197" s="62">
        <v>0</v>
      </c>
      <c r="J197" s="62"/>
      <c r="K197" s="62">
        <v>0</v>
      </c>
      <c r="L197" s="292"/>
      <c r="M197" s="62">
        <v>0</v>
      </c>
      <c r="N197" s="293"/>
      <c r="O197" s="185">
        <v>0</v>
      </c>
      <c r="P197" s="185"/>
      <c r="Q197" s="185"/>
      <c r="R197" s="185"/>
      <c r="S197" s="185"/>
      <c r="T197" s="294"/>
      <c r="U197" s="61"/>
    </row>
    <row r="198" spans="1:21" ht="12.75">
      <c r="A198" s="1597" t="s">
        <v>131</v>
      </c>
      <c r="B198" s="1597"/>
      <c r="C198" s="1597"/>
      <c r="D198" s="63">
        <v>0</v>
      </c>
      <c r="E198" s="63">
        <v>0</v>
      </c>
      <c r="F198" s="62"/>
      <c r="G198" s="63">
        <v>0</v>
      </c>
      <c r="H198" s="90"/>
      <c r="I198" s="62">
        <v>0</v>
      </c>
      <c r="J198" s="236"/>
      <c r="K198" s="63">
        <v>0</v>
      </c>
      <c r="L198" s="61"/>
      <c r="M198" s="62">
        <v>0</v>
      </c>
      <c r="N198" s="197"/>
      <c r="O198" s="185">
        <v>0</v>
      </c>
      <c r="P198" s="185"/>
      <c r="Q198" s="185"/>
      <c r="R198" s="185"/>
      <c r="S198" s="185"/>
      <c r="T198" s="294"/>
      <c r="U198" s="61"/>
    </row>
    <row r="199" spans="1:21" ht="13.5" thickBot="1">
      <c r="A199" s="1597" t="s">
        <v>132</v>
      </c>
      <c r="B199" s="1597"/>
      <c r="C199" s="1597"/>
      <c r="D199" s="62">
        <v>0</v>
      </c>
      <c r="E199" s="62">
        <v>0</v>
      </c>
      <c r="F199" s="62"/>
      <c r="G199" s="62">
        <v>0</v>
      </c>
      <c r="H199" s="64"/>
      <c r="I199" s="62">
        <v>0</v>
      </c>
      <c r="J199" s="62"/>
      <c r="K199" s="62">
        <v>0</v>
      </c>
      <c r="L199" s="61"/>
      <c r="M199" s="62">
        <v>0</v>
      </c>
      <c r="N199" s="293"/>
      <c r="O199" s="185">
        <v>0</v>
      </c>
      <c r="P199" s="185"/>
      <c r="Q199" s="185"/>
      <c r="R199" s="185"/>
      <c r="S199" s="185"/>
      <c r="T199" s="294"/>
      <c r="U199" s="292"/>
    </row>
    <row r="200" spans="1:21" ht="13.5" thickBot="1">
      <c r="A200" s="206" t="s">
        <v>129</v>
      </c>
      <c r="B200" s="247"/>
      <c r="C200" s="208"/>
      <c r="D200" s="209">
        <v>0</v>
      </c>
      <c r="E200" s="209">
        <v>0</v>
      </c>
      <c r="F200" s="209"/>
      <c r="G200" s="209">
        <v>0</v>
      </c>
      <c r="H200" s="209"/>
      <c r="I200" s="209">
        <v>0</v>
      </c>
      <c r="J200" s="209"/>
      <c r="K200" s="209">
        <v>0</v>
      </c>
      <c r="L200" s="295">
        <f>SUM(L197,L198,L199)</f>
        <v>0</v>
      </c>
      <c r="M200" s="209">
        <v>0</v>
      </c>
      <c r="N200" s="296"/>
      <c r="O200" s="248">
        <f>SUM(O197,O198,O199)</f>
        <v>0</v>
      </c>
      <c r="P200" s="248"/>
      <c r="Q200" s="248"/>
      <c r="R200" s="297">
        <f>SUM(R197,R198,R199)</f>
        <v>0</v>
      </c>
      <c r="S200" s="297">
        <v>0</v>
      </c>
      <c r="T200" s="298"/>
      <c r="U200" s="1526">
        <v>0</v>
      </c>
    </row>
    <row r="201" spans="1:11" ht="12.75">
      <c r="A201" s="72"/>
      <c r="B201" s="72"/>
      <c r="C201" s="72"/>
      <c r="D201" s="72"/>
      <c r="E201" s="72"/>
      <c r="F201" s="72"/>
      <c r="G201" s="72"/>
      <c r="H201" s="289"/>
      <c r="I201" s="72"/>
      <c r="J201" s="72"/>
      <c r="K201" s="76"/>
    </row>
    <row r="202" spans="1:11" ht="12.75">
      <c r="A202" s="72"/>
      <c r="B202" s="72"/>
      <c r="C202" s="72"/>
      <c r="D202" s="72"/>
      <c r="E202" s="72"/>
      <c r="F202" s="72"/>
      <c r="G202" s="72"/>
      <c r="H202" s="289"/>
      <c r="I202" s="72"/>
      <c r="J202" s="72"/>
      <c r="K202" s="76"/>
    </row>
    <row r="203" spans="1:11" ht="12.75">
      <c r="A203" s="72"/>
      <c r="B203" s="72"/>
      <c r="C203" s="72"/>
      <c r="D203" s="72"/>
      <c r="E203" s="72"/>
      <c r="F203" s="72"/>
      <c r="G203" s="72"/>
      <c r="H203" s="289"/>
      <c r="I203" s="72"/>
      <c r="J203" s="72"/>
      <c r="K203" s="76"/>
    </row>
    <row r="204" spans="1:11" ht="12.75">
      <c r="A204" s="72"/>
      <c r="B204" s="72"/>
      <c r="C204" s="72"/>
      <c r="D204" s="72"/>
      <c r="E204" s="72"/>
      <c r="F204" s="72"/>
      <c r="G204" s="72"/>
      <c r="H204" s="289"/>
      <c r="I204" s="72"/>
      <c r="J204" s="72"/>
      <c r="K204" s="76"/>
    </row>
    <row r="205" spans="1:11" ht="12.75">
      <c r="A205" s="72"/>
      <c r="B205" s="72"/>
      <c r="C205" s="72"/>
      <c r="D205" s="72"/>
      <c r="E205" s="72"/>
      <c r="F205" s="72"/>
      <c r="G205" s="72"/>
      <c r="H205" s="289"/>
      <c r="I205" s="72"/>
      <c r="J205" s="72"/>
      <c r="K205" s="76"/>
    </row>
    <row r="206" spans="1:11" ht="12.75">
      <c r="A206" s="72"/>
      <c r="B206" s="72"/>
      <c r="C206" s="72"/>
      <c r="D206" s="72"/>
      <c r="E206" s="72"/>
      <c r="F206" s="72"/>
      <c r="G206" s="72"/>
      <c r="H206" s="289"/>
      <c r="I206" s="72"/>
      <c r="J206" s="72"/>
      <c r="K206" s="76"/>
    </row>
    <row r="207" spans="1:11" ht="12.75">
      <c r="A207" s="72"/>
      <c r="B207" s="72"/>
      <c r="C207" s="72"/>
      <c r="D207" s="72"/>
      <c r="E207" s="72"/>
      <c r="F207" s="72"/>
      <c r="G207" s="72"/>
      <c r="H207" s="289"/>
      <c r="I207" s="72"/>
      <c r="J207" s="72"/>
      <c r="K207" s="76"/>
    </row>
    <row r="208" spans="1:21" ht="39.75" customHeight="1">
      <c r="A208" s="13" t="s">
        <v>133</v>
      </c>
      <c r="B208" s="216"/>
      <c r="C208" s="217"/>
      <c r="D208" s="16" t="s">
        <v>13</v>
      </c>
      <c r="E208" s="16" t="s">
        <v>14</v>
      </c>
      <c r="F208" s="17" t="s">
        <v>15</v>
      </c>
      <c r="G208" s="16" t="s">
        <v>16</v>
      </c>
      <c r="H208" s="17" t="s">
        <v>15</v>
      </c>
      <c r="I208" s="16" t="s">
        <v>17</v>
      </c>
      <c r="J208" s="113" t="s">
        <v>15</v>
      </c>
      <c r="K208" s="16" t="s">
        <v>18</v>
      </c>
      <c r="L208" s="218">
        <v>2012</v>
      </c>
      <c r="M208" s="16" t="s">
        <v>14</v>
      </c>
      <c r="N208" s="19" t="s">
        <v>20</v>
      </c>
      <c r="O208" s="20" t="s">
        <v>21</v>
      </c>
      <c r="P208" s="21" t="s">
        <v>22</v>
      </c>
      <c r="Q208" s="21" t="s">
        <v>23</v>
      </c>
      <c r="R208" s="20" t="s">
        <v>24</v>
      </c>
      <c r="S208" s="19" t="s">
        <v>25</v>
      </c>
      <c r="T208" s="22" t="s">
        <v>26</v>
      </c>
      <c r="U208" s="113" t="s">
        <v>15</v>
      </c>
    </row>
    <row r="209" spans="1:21" ht="12.75">
      <c r="A209" s="299" t="s">
        <v>11</v>
      </c>
      <c r="B209" s="300"/>
      <c r="C209" s="301"/>
      <c r="D209" s="63">
        <f>D108</f>
        <v>1262698</v>
      </c>
      <c r="E209" s="63" t="e">
        <f>E108</f>
        <v>#N/A</v>
      </c>
      <c r="F209" s="90">
        <v>26.23</v>
      </c>
      <c r="G209" s="63" t="e">
        <f>G108</f>
        <v>#N/A</v>
      </c>
      <c r="H209" s="90">
        <v>47.98</v>
      </c>
      <c r="I209" s="149" t="e">
        <f>I108</f>
        <v>#VALUE!</v>
      </c>
      <c r="J209" s="90">
        <v>71.3</v>
      </c>
      <c r="K209" s="63">
        <f>K129+SUM(K108)</f>
        <v>1291907</v>
      </c>
      <c r="L209" s="185">
        <f>L108</f>
        <v>1272308</v>
      </c>
      <c r="M209" s="149">
        <f>M129+SUM(M108)</f>
        <v>352794.43999999994</v>
      </c>
      <c r="N209" s="197">
        <f aca="true" t="shared" si="0" ref="N209:T209">N108</f>
        <v>75934.59</v>
      </c>
      <c r="O209" s="187">
        <f t="shared" si="0"/>
        <v>1348243</v>
      </c>
      <c r="P209" s="187">
        <f t="shared" si="0"/>
        <v>681789.66</v>
      </c>
      <c r="Q209" s="187">
        <f t="shared" si="0"/>
        <v>976984.06</v>
      </c>
      <c r="R209" s="187">
        <f t="shared" si="0"/>
        <v>1370550.23</v>
      </c>
      <c r="S209" s="302">
        <f t="shared" si="0"/>
        <v>6534.229999999996</v>
      </c>
      <c r="T209" s="189">
        <f t="shared" si="0"/>
        <v>1402630.69</v>
      </c>
      <c r="U209" s="1460">
        <f>T209/R209*100</f>
        <v>102.34069932628445</v>
      </c>
    </row>
    <row r="210" spans="1:21" ht="12.75">
      <c r="A210" s="299" t="s">
        <v>105</v>
      </c>
      <c r="B210" s="300"/>
      <c r="C210" s="301"/>
      <c r="D210" s="63">
        <f>D149</f>
        <v>684780</v>
      </c>
      <c r="E210" s="63">
        <f>E149</f>
        <v>91</v>
      </c>
      <c r="F210" s="90">
        <v>0.01</v>
      </c>
      <c r="G210" s="63">
        <f>G149</f>
        <v>51932</v>
      </c>
      <c r="H210" s="90">
        <v>4.07</v>
      </c>
      <c r="I210" s="63">
        <f>I149</f>
        <v>231302</v>
      </c>
      <c r="J210" s="170">
        <v>18.14</v>
      </c>
      <c r="K210" s="63">
        <f>K171+SUM(K149)</f>
        <v>720865</v>
      </c>
      <c r="L210" s="185">
        <f>L149</f>
        <v>584744</v>
      </c>
      <c r="M210" s="63">
        <f>M171+SUM(M149)</f>
        <v>133979.92</v>
      </c>
      <c r="N210" s="303">
        <f>N149</f>
        <v>2000</v>
      </c>
      <c r="O210" s="187">
        <f>SUM(O149)</f>
        <v>582744</v>
      </c>
      <c r="P210" s="187">
        <f>P149</f>
        <v>292412.61</v>
      </c>
      <c r="Q210" s="187">
        <f>Q149</f>
        <v>338092.73</v>
      </c>
      <c r="R210" s="187">
        <f>R149</f>
        <v>421774.89</v>
      </c>
      <c r="S210" s="304">
        <f>S149</f>
        <v>160969.11</v>
      </c>
      <c r="T210" s="189">
        <f>T149</f>
        <v>419518.07999999996</v>
      </c>
      <c r="U210" s="1460">
        <f>T210/R210*100</f>
        <v>99.4649254724481</v>
      </c>
    </row>
    <row r="211" spans="1:21" ht="12.75">
      <c r="A211" s="299" t="s">
        <v>119</v>
      </c>
      <c r="B211" s="300"/>
      <c r="C211" s="301"/>
      <c r="D211" s="63">
        <f>0+D189</f>
        <v>0</v>
      </c>
      <c r="E211" s="63">
        <f>E189</f>
        <v>246629</v>
      </c>
      <c r="F211" s="90"/>
      <c r="G211" s="63">
        <f>G189</f>
        <v>246629</v>
      </c>
      <c r="H211" s="90"/>
      <c r="I211" s="63">
        <f>I189</f>
        <v>246629</v>
      </c>
      <c r="J211" s="90"/>
      <c r="K211" s="63">
        <f>K189</f>
        <v>246629</v>
      </c>
      <c r="L211" s="62">
        <f>L189</f>
        <v>310000</v>
      </c>
      <c r="M211" s="63">
        <f>M189</f>
        <v>140503.28</v>
      </c>
      <c r="N211" s="305">
        <v>0</v>
      </c>
      <c r="O211" s="186">
        <f>SUM(O189)</f>
        <v>310000</v>
      </c>
      <c r="P211" s="186">
        <f>P189</f>
        <v>240110.47</v>
      </c>
      <c r="Q211" s="186">
        <f>Q189</f>
        <v>240110.47</v>
      </c>
      <c r="R211" s="186">
        <f>R189</f>
        <v>310000</v>
      </c>
      <c r="S211" s="279">
        <f>S189</f>
        <v>0</v>
      </c>
      <c r="T211" s="233">
        <f>T189</f>
        <v>310000</v>
      </c>
      <c r="U211" s="1460">
        <f>T211/R211*100</f>
        <v>100</v>
      </c>
    </row>
    <row r="212" spans="1:21" ht="12.75">
      <c r="A212" s="299" t="s">
        <v>129</v>
      </c>
      <c r="B212" s="300"/>
      <c r="C212" s="301"/>
      <c r="D212" s="63">
        <f>0+D200</f>
        <v>0</v>
      </c>
      <c r="E212" s="63">
        <f>E200</f>
        <v>0</v>
      </c>
      <c r="F212" s="90"/>
      <c r="G212" s="63">
        <f>G200</f>
        <v>0</v>
      </c>
      <c r="H212" s="90"/>
      <c r="I212" s="63">
        <f>I200</f>
        <v>0</v>
      </c>
      <c r="J212" s="90"/>
      <c r="K212" s="63">
        <f>K200</f>
        <v>0</v>
      </c>
      <c r="L212" s="255">
        <v>5000</v>
      </c>
      <c r="M212" s="63">
        <f>SUM(M200)</f>
        <v>0</v>
      </c>
      <c r="N212" s="306">
        <v>0</v>
      </c>
      <c r="O212" s="241">
        <f>SUM(O200)</f>
        <v>0</v>
      </c>
      <c r="P212" s="241">
        <f>P200</f>
        <v>0</v>
      </c>
      <c r="Q212" s="241">
        <f>Q200</f>
        <v>0</v>
      </c>
      <c r="R212" s="241">
        <f>R200</f>
        <v>0</v>
      </c>
      <c r="S212" s="241">
        <f>S200</f>
        <v>0</v>
      </c>
      <c r="T212" s="307">
        <f>T200</f>
        <v>0</v>
      </c>
      <c r="U212" s="1460">
        <v>0</v>
      </c>
    </row>
    <row r="213" spans="1:21" ht="15">
      <c r="A213" s="308" t="s">
        <v>134</v>
      </c>
      <c r="B213" s="309"/>
      <c r="C213" s="310"/>
      <c r="D213" s="266">
        <f>SUM(D209,D210,D211,D212)</f>
        <v>1947478</v>
      </c>
      <c r="E213" s="266" t="e">
        <f>SUM(E209,E210,E211,E212)</f>
        <v>#N/A</v>
      </c>
      <c r="F213" s="266">
        <v>22.77</v>
      </c>
      <c r="G213" s="266" t="e">
        <f>SUM(G209,G210,G211,G212)</f>
        <v>#N/A</v>
      </c>
      <c r="H213" s="266">
        <v>35.63</v>
      </c>
      <c r="I213" s="266" t="e">
        <f>SUM(I209,I210,I211,I212)</f>
        <v>#VALUE!</v>
      </c>
      <c r="J213" s="266">
        <v>54.31</v>
      </c>
      <c r="K213" s="266">
        <f>SUM(K209,K210,K211,K212)</f>
        <v>2259401</v>
      </c>
      <c r="L213" s="311">
        <f>SUM(L209,L210,L211,L212)</f>
        <v>2172052</v>
      </c>
      <c r="M213" s="266">
        <f>SUM(M209,M210,M211,M212)</f>
        <v>627277.64</v>
      </c>
      <c r="N213" s="312">
        <f>SUM(N209,-N210,N211,N212)</f>
        <v>73934.59</v>
      </c>
      <c r="O213" s="313">
        <f>SUM(O209,O210,O211,O212)</f>
        <v>2240987</v>
      </c>
      <c r="P213" s="313">
        <f>P209+P210+P211+P212</f>
        <v>1214312.74</v>
      </c>
      <c r="Q213" s="313">
        <f>Q209+Q210+Q211+Q212</f>
        <v>1555187.26</v>
      </c>
      <c r="R213" s="313">
        <f>SUM(R209,R210,R211,R212)</f>
        <v>2102325.12</v>
      </c>
      <c r="S213" s="314">
        <f>S210+S211-S209</f>
        <v>154434.88</v>
      </c>
      <c r="T213" s="315">
        <f>T209+T210+T211+T212</f>
        <v>2132148.77</v>
      </c>
      <c r="U213" s="1006">
        <f>T213/R213*100</f>
        <v>101.41860313213591</v>
      </c>
    </row>
  </sheetData>
  <mergeCells count="16">
    <mergeCell ref="I175:T175"/>
    <mergeCell ref="A197:C197"/>
    <mergeCell ref="A198:C198"/>
    <mergeCell ref="A199:C199"/>
    <mergeCell ref="K128:R128"/>
    <mergeCell ref="A133:C133"/>
    <mergeCell ref="K135:R135"/>
    <mergeCell ref="A148:C148"/>
    <mergeCell ref="K41:R41"/>
    <mergeCell ref="A70:C70"/>
    <mergeCell ref="J82:R82"/>
    <mergeCell ref="A107:C107"/>
    <mergeCell ref="A2:R2"/>
    <mergeCell ref="A5:F5"/>
    <mergeCell ref="K5:R5"/>
    <mergeCell ref="A26:C26"/>
  </mergeCells>
  <printOptions/>
  <pageMargins left="0.5513888888888889" right="0.5902777777777778" top="0.5909722222222222" bottom="0.5902777777777779" header="0.31527777777777777" footer="0.5118055555555556"/>
  <pageSetup horizontalDpi="300" verticalDpi="300" orientation="portrait" paperSize="9" scale="95" r:id="rId1"/>
  <headerFooter alignWithMargins="0">
    <oddHeader>&amp;CROZPOČET OBCE TEKOVSKÉ LUŽANY NA ROK  2012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F19" sqref="F19"/>
    </sheetView>
  </sheetViews>
  <sheetFormatPr defaultColWidth="9.00390625" defaultRowHeight="12.75"/>
  <cols>
    <col min="1" max="1" width="3.625" style="316" customWidth="1"/>
    <col min="2" max="2" width="4.125" style="317" customWidth="1"/>
    <col min="3" max="3" width="9.125" style="318" customWidth="1"/>
    <col min="4" max="4" width="3.375" style="318" customWidth="1"/>
    <col min="5" max="5" width="31.125" style="318" customWidth="1"/>
    <col min="6" max="6" width="11.875" style="319" customWidth="1"/>
    <col min="7" max="7" width="0" style="320" hidden="1" customWidth="1"/>
    <col min="8" max="9" width="9.125" style="320" customWidth="1"/>
    <col min="10" max="10" width="8.375" style="321" customWidth="1"/>
    <col min="11" max="12" width="8.375" style="318" customWidth="1"/>
    <col min="13" max="16384" width="9.125" style="318" customWidth="1"/>
  </cols>
  <sheetData>
    <row r="1" spans="2:12" ht="15.75">
      <c r="B1" s="322" t="s">
        <v>135</v>
      </c>
      <c r="E1" s="322" t="s">
        <v>136</v>
      </c>
      <c r="G1" s="323" t="str">
        <f>"$#REF!$#REF!-G7"</f>
        <v>$#REF!$#REF!-G7</v>
      </c>
      <c r="H1" s="323"/>
      <c r="I1" s="323"/>
      <c r="J1" s="324"/>
      <c r="K1" s="324"/>
      <c r="L1" s="324"/>
    </row>
    <row r="2" spans="1:12" ht="13.5" thickBot="1">
      <c r="A2" s="325"/>
      <c r="B2" s="326"/>
      <c r="C2" s="327"/>
      <c r="D2" s="327"/>
      <c r="E2" s="328"/>
      <c r="F2" s="329"/>
      <c r="G2" s="323" t="e">
        <f>SUM(G8:G10)</f>
        <v>#VALUE!</v>
      </c>
      <c r="H2" s="323"/>
      <c r="I2" s="323"/>
      <c r="J2" s="330">
        <f>SUM(J8:J10)</f>
        <v>380876.47</v>
      </c>
      <c r="K2" s="330">
        <f>SUM(K8:K10)</f>
        <v>379889.82000000007</v>
      </c>
      <c r="L2" s="330">
        <f>SUM(L8:L10)</f>
        <v>299.4634688006098</v>
      </c>
    </row>
    <row r="3" spans="1:12" ht="16.5" customHeight="1" thickBot="1">
      <c r="A3" s="331"/>
      <c r="B3" s="332"/>
      <c r="C3" s="333"/>
      <c r="D3" s="333"/>
      <c r="E3" s="334"/>
      <c r="F3" s="335"/>
      <c r="G3" s="336" t="s">
        <v>137</v>
      </c>
      <c r="H3" s="1598" t="s">
        <v>138</v>
      </c>
      <c r="I3" s="1599"/>
      <c r="J3" s="1600"/>
      <c r="K3" s="1601" t="s">
        <v>139</v>
      </c>
      <c r="L3" s="1602"/>
    </row>
    <row r="4" spans="1:12" ht="12" customHeight="1" thickBot="1">
      <c r="A4" s="337"/>
      <c r="B4" s="338" t="s">
        <v>140</v>
      </c>
      <c r="C4" s="339" t="s">
        <v>141</v>
      </c>
      <c r="D4" s="1603" t="s">
        <v>142</v>
      </c>
      <c r="E4" s="1603"/>
      <c r="F4" s="1603"/>
      <c r="G4" s="340"/>
      <c r="H4" s="341">
        <v>2012</v>
      </c>
      <c r="I4" s="341" t="s">
        <v>143</v>
      </c>
      <c r="J4" s="341" t="s">
        <v>144</v>
      </c>
      <c r="K4" s="342">
        <v>2012</v>
      </c>
      <c r="L4" s="342" t="s">
        <v>15</v>
      </c>
    </row>
    <row r="5" spans="1:12" ht="12" customHeight="1">
      <c r="A5" s="337"/>
      <c r="B5" s="338" t="s">
        <v>145</v>
      </c>
      <c r="C5" s="339" t="s">
        <v>146</v>
      </c>
      <c r="D5" s="1603"/>
      <c r="E5" s="1603"/>
      <c r="F5" s="1603"/>
      <c r="G5" s="343" t="s">
        <v>147</v>
      </c>
      <c r="H5" s="344" t="s">
        <v>148</v>
      </c>
      <c r="I5" s="344" t="s">
        <v>148</v>
      </c>
      <c r="J5" s="344" t="s">
        <v>148</v>
      </c>
      <c r="K5" s="345" t="s">
        <v>149</v>
      </c>
      <c r="L5" s="345"/>
    </row>
    <row r="6" spans="1:12" ht="15" customHeight="1">
      <c r="A6" s="337"/>
      <c r="B6" s="338" t="s">
        <v>150</v>
      </c>
      <c r="C6" s="339" t="s">
        <v>151</v>
      </c>
      <c r="D6" s="1603"/>
      <c r="E6" s="1603"/>
      <c r="F6" s="1603"/>
      <c r="G6" s="346">
        <v>1</v>
      </c>
      <c r="H6" s="346">
        <v>1</v>
      </c>
      <c r="I6" s="346">
        <v>2</v>
      </c>
      <c r="J6" s="347">
        <v>3</v>
      </c>
      <c r="K6" s="348">
        <v>4</v>
      </c>
      <c r="L6" s="348">
        <v>5</v>
      </c>
    </row>
    <row r="7" spans="1:12" ht="15">
      <c r="A7" s="349">
        <v>1</v>
      </c>
      <c r="B7" s="350" t="s">
        <v>152</v>
      </c>
      <c r="C7" s="351"/>
      <c r="D7" s="352"/>
      <c r="E7" s="352" t="s">
        <v>136</v>
      </c>
      <c r="F7" s="353"/>
      <c r="G7" s="354" t="e">
        <f>G11+"$#REF!$#REF!+$#REF!$#REF!+$#REF!$#REF!+$#REF!$#REF!+$#REF!$#REF!+$#REF!$#REF!"</f>
        <v>#VALUE!</v>
      </c>
      <c r="H7" s="355">
        <f>SUM(H8:H10)</f>
        <v>511592</v>
      </c>
      <c r="I7" s="355">
        <f>SUM(I8:I10)</f>
        <v>581304</v>
      </c>
      <c r="J7" s="355">
        <f>SUM(J8:J10)</f>
        <v>380876.47</v>
      </c>
      <c r="K7" s="355">
        <f>SUM(K8:K10)</f>
        <v>379889.82000000007</v>
      </c>
      <c r="L7" s="356">
        <f aca="true" t="shared" si="0" ref="L7:L38">K7/J7*100</f>
        <v>99.74095275562706</v>
      </c>
    </row>
    <row r="8" spans="1:12" ht="12.75">
      <c r="A8" s="357">
        <f aca="true" t="shared" si="1" ref="A8:A23">A7+1</f>
        <v>2</v>
      </c>
      <c r="B8" s="358" t="s">
        <v>153</v>
      </c>
      <c r="C8" s="359" t="s">
        <v>154</v>
      </c>
      <c r="D8" s="360"/>
      <c r="E8" s="361"/>
      <c r="F8" s="362"/>
      <c r="G8" s="363" t="e">
        <f>G43+G46+"$#REF!$#REF!+$#REF!$#REF!+$#REF!$#REF!+$#REF!$#REF!+$#REF!$#REF!+$#REF!$#REF!+G48"</f>
        <v>#VALUE!</v>
      </c>
      <c r="H8" s="364">
        <f>SUM(H13,H28,H36,H41,H54,H63)</f>
        <v>171955</v>
      </c>
      <c r="I8" s="364">
        <f>SUM(I13,I28,I36,I41,I54,I63)</f>
        <v>174555</v>
      </c>
      <c r="J8" s="364">
        <f>SUM(J13,J28,J36,J41,J54,J63)</f>
        <v>182881.3</v>
      </c>
      <c r="K8" s="364">
        <f>SUM(K13,K28,K36,K41,K54,K63)</f>
        <v>181983.51000000004</v>
      </c>
      <c r="L8" s="365">
        <f t="shared" si="0"/>
        <v>99.5090859480986</v>
      </c>
    </row>
    <row r="9" spans="1:12" ht="12.75">
      <c r="A9" s="357">
        <f t="shared" si="1"/>
        <v>3</v>
      </c>
      <c r="B9" s="358" t="s">
        <v>155</v>
      </c>
      <c r="C9" s="359" t="s">
        <v>156</v>
      </c>
      <c r="D9" s="360"/>
      <c r="E9" s="361"/>
      <c r="F9" s="362"/>
      <c r="G9" s="363" t="str">
        <f>"$#REF!$#REF!"</f>
        <v>$#REF!$#REF!</v>
      </c>
      <c r="H9" s="364">
        <f>SUM(H24)</f>
        <v>0</v>
      </c>
      <c r="I9" s="364">
        <f>SUM(I24)</f>
        <v>0</v>
      </c>
      <c r="J9" s="364">
        <f>SUM(J24)</f>
        <v>3200</v>
      </c>
      <c r="K9" s="364">
        <f>SUM(K24)</f>
        <v>3200</v>
      </c>
      <c r="L9" s="365">
        <f t="shared" si="0"/>
        <v>100</v>
      </c>
    </row>
    <row r="10" spans="1:12" ht="12.75">
      <c r="A10" s="357">
        <f t="shared" si="1"/>
        <v>4</v>
      </c>
      <c r="B10" s="366"/>
      <c r="C10" s="367" t="s">
        <v>157</v>
      </c>
      <c r="D10" s="368"/>
      <c r="E10" s="369"/>
      <c r="F10" s="370"/>
      <c r="G10" s="371">
        <v>0</v>
      </c>
      <c r="H10" s="364">
        <f>H49</f>
        <v>339637</v>
      </c>
      <c r="I10" s="364">
        <f>I49</f>
        <v>406749</v>
      </c>
      <c r="J10" s="364">
        <f>J49</f>
        <v>194795.17</v>
      </c>
      <c r="K10" s="372">
        <f>K49</f>
        <v>194706.31000000003</v>
      </c>
      <c r="L10" s="373">
        <f t="shared" si="0"/>
        <v>99.95438285251119</v>
      </c>
    </row>
    <row r="11" spans="1:12" ht="12.75">
      <c r="A11" s="357">
        <f t="shared" si="1"/>
        <v>5</v>
      </c>
      <c r="B11" s="374">
        <v>1</v>
      </c>
      <c r="C11" s="375" t="s">
        <v>158</v>
      </c>
      <c r="D11" s="376"/>
      <c r="E11" s="376"/>
      <c r="F11" s="377"/>
      <c r="G11" s="378">
        <f>G12+G45+G47</f>
        <v>266.6</v>
      </c>
      <c r="H11" s="379">
        <f>SUM(H12+H27)</f>
        <v>140840</v>
      </c>
      <c r="I11" s="379">
        <f>SUM(I12+I27)</f>
        <v>143040</v>
      </c>
      <c r="J11" s="379">
        <f>SUM(J12+J27)</f>
        <v>152646.3</v>
      </c>
      <c r="K11" s="380">
        <f>SUM(K12+K27)</f>
        <v>151501.93000000002</v>
      </c>
      <c r="L11" s="381">
        <f t="shared" si="0"/>
        <v>99.25031265087986</v>
      </c>
    </row>
    <row r="12" spans="1:12" s="390" customFormat="1" ht="12.75">
      <c r="A12" s="357">
        <f t="shared" si="1"/>
        <v>6</v>
      </c>
      <c r="B12" s="382"/>
      <c r="C12" s="383" t="s">
        <v>159</v>
      </c>
      <c r="D12" s="384" t="s">
        <v>160</v>
      </c>
      <c r="E12" s="385"/>
      <c r="F12" s="386"/>
      <c r="G12" s="387">
        <f>G44</f>
        <v>133.3</v>
      </c>
      <c r="H12" s="388">
        <f>SUM(H13+H24)</f>
        <v>128340</v>
      </c>
      <c r="I12" s="388">
        <f>SUM(I13+I24)</f>
        <v>130540</v>
      </c>
      <c r="J12" s="388">
        <f>SUM(J13+J24)</f>
        <v>139836.99</v>
      </c>
      <c r="K12" s="388">
        <f>SUM(K13+K24)</f>
        <v>138915.35000000003</v>
      </c>
      <c r="L12" s="389">
        <f t="shared" si="0"/>
        <v>99.34091830780972</v>
      </c>
    </row>
    <row r="13" spans="1:12" ht="12.75">
      <c r="A13" s="357">
        <f t="shared" si="1"/>
        <v>7</v>
      </c>
      <c r="B13" s="391"/>
      <c r="C13" s="392"/>
      <c r="D13" s="361" t="s">
        <v>154</v>
      </c>
      <c r="E13" s="393"/>
      <c r="F13" s="394"/>
      <c r="G13" s="395">
        <f>G14</f>
        <v>6544.799999999998</v>
      </c>
      <c r="H13" s="396">
        <f>H14</f>
        <v>128340</v>
      </c>
      <c r="I13" s="396">
        <f>I14</f>
        <v>130540</v>
      </c>
      <c r="J13" s="396">
        <f>J14</f>
        <v>136636.99</v>
      </c>
      <c r="K13" s="396">
        <f>K14</f>
        <v>135715.35000000003</v>
      </c>
      <c r="L13" s="397">
        <f t="shared" si="0"/>
        <v>99.32548279935034</v>
      </c>
    </row>
    <row r="14" spans="1:12" ht="12.75">
      <c r="A14" s="357">
        <f t="shared" si="1"/>
        <v>8</v>
      </c>
      <c r="B14" s="398"/>
      <c r="C14" s="399" t="s">
        <v>161</v>
      </c>
      <c r="D14" s="400" t="s">
        <v>162</v>
      </c>
      <c r="E14" s="401"/>
      <c r="F14" s="402"/>
      <c r="G14" s="403">
        <f>SUM(G15:G36)</f>
        <v>6544.799999999998</v>
      </c>
      <c r="H14" s="404">
        <f>SUM(H15:H23)</f>
        <v>128340</v>
      </c>
      <c r="I14" s="404">
        <f>SUM(I15:I23)</f>
        <v>130540</v>
      </c>
      <c r="J14" s="404">
        <f>SUM(J15:J23)</f>
        <v>136636.99</v>
      </c>
      <c r="K14" s="404">
        <f>SUM(K15:K23)</f>
        <v>135715.35000000003</v>
      </c>
      <c r="L14" s="405">
        <f t="shared" si="0"/>
        <v>99.32548279935034</v>
      </c>
    </row>
    <row r="15" spans="1:12" ht="12.75">
      <c r="A15" s="357">
        <f t="shared" si="1"/>
        <v>9</v>
      </c>
      <c r="B15" s="406"/>
      <c r="C15" s="407" t="s">
        <v>163</v>
      </c>
      <c r="D15" s="408">
        <v>1</v>
      </c>
      <c r="E15" s="409" t="s">
        <v>164</v>
      </c>
      <c r="F15" s="410"/>
      <c r="G15" s="411">
        <f aca="true" t="shared" si="2" ref="G15:G23">ROUND(K15/30.126,1)</f>
        <v>1598.7</v>
      </c>
      <c r="H15" s="412">
        <f>výdavky!M8</f>
        <v>50000</v>
      </c>
      <c r="I15" s="412">
        <f>výdavky!P8</f>
        <v>50000</v>
      </c>
      <c r="J15" s="412">
        <f>výdavky!T8+výdavky!T9</f>
        <v>50000</v>
      </c>
      <c r="K15" s="412">
        <f>výdavky!V8+výdavky!V9</f>
        <v>48161.01</v>
      </c>
      <c r="L15" s="413">
        <f t="shared" si="0"/>
        <v>96.32202000000001</v>
      </c>
    </row>
    <row r="16" spans="1:12" ht="12.75">
      <c r="A16" s="357">
        <f t="shared" si="1"/>
        <v>10</v>
      </c>
      <c r="B16" s="406"/>
      <c r="C16" s="407" t="s">
        <v>165</v>
      </c>
      <c r="D16" s="414">
        <f aca="true" t="shared" si="3" ref="D16:D23">D15+1</f>
        <v>2</v>
      </c>
      <c r="E16" s="415" t="s">
        <v>166</v>
      </c>
      <c r="F16" s="416"/>
      <c r="G16" s="417">
        <f t="shared" si="2"/>
        <v>581.2</v>
      </c>
      <c r="H16" s="418">
        <f>výdavky!M11</f>
        <v>18000</v>
      </c>
      <c r="I16" s="418">
        <f>výdavky!P11</f>
        <v>18000</v>
      </c>
      <c r="J16" s="418">
        <f>výdavky!T11</f>
        <v>18000</v>
      </c>
      <c r="K16" s="418">
        <f>výdavky!V11</f>
        <v>17509.78</v>
      </c>
      <c r="L16" s="419">
        <f t="shared" si="0"/>
        <v>97.27655555555555</v>
      </c>
    </row>
    <row r="17" spans="1:12" ht="12.75">
      <c r="A17" s="357">
        <f t="shared" si="1"/>
        <v>11</v>
      </c>
      <c r="B17" s="406"/>
      <c r="C17" s="407" t="s">
        <v>167</v>
      </c>
      <c r="D17" s="408">
        <f t="shared" si="3"/>
        <v>3</v>
      </c>
      <c r="E17" s="409" t="s">
        <v>168</v>
      </c>
      <c r="F17" s="410"/>
      <c r="G17" s="411">
        <f t="shared" si="2"/>
        <v>0.4</v>
      </c>
      <c r="H17" s="412">
        <f>výdavky!M13</f>
        <v>20</v>
      </c>
      <c r="I17" s="412">
        <f>výdavky!P13</f>
        <v>20</v>
      </c>
      <c r="J17" s="412">
        <f>výdavky!T13</f>
        <v>20</v>
      </c>
      <c r="K17" s="412">
        <f>výdavky!V13</f>
        <v>11.6</v>
      </c>
      <c r="L17" s="413">
        <f t="shared" si="0"/>
        <v>57.99999999999999</v>
      </c>
    </row>
    <row r="18" spans="1:12" ht="12.75">
      <c r="A18" s="357">
        <f t="shared" si="1"/>
        <v>12</v>
      </c>
      <c r="B18" s="406"/>
      <c r="C18" s="407" t="s">
        <v>169</v>
      </c>
      <c r="D18" s="414">
        <f t="shared" si="3"/>
        <v>4</v>
      </c>
      <c r="E18" s="420" t="s">
        <v>170</v>
      </c>
      <c r="F18" s="421"/>
      <c r="G18" s="417">
        <f t="shared" si="2"/>
        <v>501.3</v>
      </c>
      <c r="H18" s="418">
        <f>výdavky!M14</f>
        <v>14000</v>
      </c>
      <c r="I18" s="418">
        <f>výdavky!P14</f>
        <v>14000</v>
      </c>
      <c r="J18" s="418">
        <f>výdavky!T14</f>
        <v>14000</v>
      </c>
      <c r="K18" s="418">
        <f>výdavky!V14+výdavky!V15</f>
        <v>15101.74</v>
      </c>
      <c r="L18" s="419">
        <f t="shared" si="0"/>
        <v>107.86957142857143</v>
      </c>
    </row>
    <row r="19" spans="1:12" ht="12.75">
      <c r="A19" s="357">
        <f t="shared" si="1"/>
        <v>13</v>
      </c>
      <c r="B19" s="406"/>
      <c r="C19" s="407" t="s">
        <v>171</v>
      </c>
      <c r="D19" s="414">
        <f t="shared" si="3"/>
        <v>5</v>
      </c>
      <c r="E19" s="409" t="s">
        <v>172</v>
      </c>
      <c r="F19" s="410"/>
      <c r="G19" s="411">
        <f t="shared" si="2"/>
        <v>322.2</v>
      </c>
      <c r="H19" s="412">
        <f>výdavky!M16</f>
        <v>11100</v>
      </c>
      <c r="I19" s="412">
        <f>výdavky!P16</f>
        <v>11100</v>
      </c>
      <c r="J19" s="412">
        <f>výdavky!T16</f>
        <v>11600</v>
      </c>
      <c r="K19" s="412">
        <f>výdavky!V16</f>
        <v>9707.789999999999</v>
      </c>
      <c r="L19" s="413">
        <f t="shared" si="0"/>
        <v>83.6878448275862</v>
      </c>
    </row>
    <row r="20" spans="1:12" ht="12.75">
      <c r="A20" s="357">
        <f t="shared" si="1"/>
        <v>14</v>
      </c>
      <c r="B20" s="406"/>
      <c r="C20" s="407" t="s">
        <v>173</v>
      </c>
      <c r="D20" s="408">
        <f t="shared" si="3"/>
        <v>6</v>
      </c>
      <c r="E20" s="422" t="s">
        <v>174</v>
      </c>
      <c r="F20" s="423"/>
      <c r="G20" s="424">
        <f t="shared" si="2"/>
        <v>286.8</v>
      </c>
      <c r="H20" s="425">
        <f>výdavky!M29</f>
        <v>6970</v>
      </c>
      <c r="I20" s="425">
        <f>výdavky!P29</f>
        <v>6970</v>
      </c>
      <c r="J20" s="425">
        <f>výdavky!T29</f>
        <v>6983</v>
      </c>
      <c r="K20" s="425">
        <f>výdavky!V29</f>
        <v>8639.720000000001</v>
      </c>
      <c r="L20" s="426">
        <f t="shared" si="0"/>
        <v>123.72504654160106</v>
      </c>
    </row>
    <row r="21" spans="1:12" ht="12.75">
      <c r="A21" s="357">
        <f t="shared" si="1"/>
        <v>15</v>
      </c>
      <c r="B21" s="406"/>
      <c r="C21" s="407" t="s">
        <v>175</v>
      </c>
      <c r="D21" s="414">
        <f t="shared" si="3"/>
        <v>7</v>
      </c>
      <c r="E21" s="420" t="s">
        <v>176</v>
      </c>
      <c r="F21" s="421"/>
      <c r="G21" s="417">
        <f t="shared" si="2"/>
        <v>29.4</v>
      </c>
      <c r="H21" s="418">
        <f>výdavky!M36</f>
        <v>1900</v>
      </c>
      <c r="I21" s="418">
        <f>výdavky!P36</f>
        <v>1900</v>
      </c>
      <c r="J21" s="418">
        <f>výdavky!T36</f>
        <v>1637</v>
      </c>
      <c r="K21" s="418">
        <f>výdavky!V36</f>
        <v>885.85</v>
      </c>
      <c r="L21" s="419">
        <f t="shared" si="0"/>
        <v>54.11423335369578</v>
      </c>
    </row>
    <row r="22" spans="1:12" ht="12.75">
      <c r="A22" s="357">
        <f t="shared" si="1"/>
        <v>16</v>
      </c>
      <c r="B22" s="406"/>
      <c r="C22" s="407" t="s">
        <v>177</v>
      </c>
      <c r="D22" s="414">
        <f t="shared" si="3"/>
        <v>8</v>
      </c>
      <c r="E22" s="420" t="s">
        <v>178</v>
      </c>
      <c r="F22" s="421"/>
      <c r="G22" s="417">
        <f t="shared" si="2"/>
        <v>40.4</v>
      </c>
      <c r="H22" s="418">
        <f>výdavky!M40</f>
        <v>1000</v>
      </c>
      <c r="I22" s="418">
        <f>výdavky!P40</f>
        <v>1200</v>
      </c>
      <c r="J22" s="418">
        <f>výdavky!T40</f>
        <v>1200</v>
      </c>
      <c r="K22" s="418">
        <f>výdavky!V40</f>
        <v>1216.36</v>
      </c>
      <c r="L22" s="419">
        <f t="shared" si="0"/>
        <v>101.36333333333332</v>
      </c>
    </row>
    <row r="23" spans="1:12" ht="12.75">
      <c r="A23" s="357">
        <f t="shared" si="1"/>
        <v>17</v>
      </c>
      <c r="B23" s="406"/>
      <c r="C23" s="407" t="s">
        <v>179</v>
      </c>
      <c r="D23" s="414">
        <f t="shared" si="3"/>
        <v>9</v>
      </c>
      <c r="E23" s="420" t="s">
        <v>180</v>
      </c>
      <c r="F23" s="421"/>
      <c r="G23" s="417">
        <f t="shared" si="2"/>
        <v>1144.6</v>
      </c>
      <c r="H23" s="418">
        <f>výdavky!M48-výdavky!M65-výdavky!M56-výdavky!M64</f>
        <v>25350</v>
      </c>
      <c r="I23" s="418">
        <f>výdavky!P48-výdavky!P65-výdavky!P56-výdavky!P64</f>
        <v>27350</v>
      </c>
      <c r="J23" s="418">
        <f>výdavky!T48-výdavky!T56-výdavky!T65-výdavky!T64</f>
        <v>33196.99</v>
      </c>
      <c r="K23" s="418">
        <f>výdavky!V48-výdavky!V65-výdavky!V56-výdavky!V64</f>
        <v>34481.5</v>
      </c>
      <c r="L23" s="419">
        <f t="shared" si="0"/>
        <v>103.86935683024274</v>
      </c>
    </row>
    <row r="24" spans="1:12" ht="12.75">
      <c r="A24" s="357">
        <v>18</v>
      </c>
      <c r="B24" s="398"/>
      <c r="C24" s="407"/>
      <c r="D24" s="361" t="s">
        <v>156</v>
      </c>
      <c r="E24" s="427"/>
      <c r="F24" s="394"/>
      <c r="G24" s="395">
        <f>G25</f>
        <v>528</v>
      </c>
      <c r="H24" s="396">
        <f>H25</f>
        <v>0</v>
      </c>
      <c r="I24" s="396">
        <f>I25</f>
        <v>0</v>
      </c>
      <c r="J24" s="396">
        <f>J25</f>
        <v>3200</v>
      </c>
      <c r="K24" s="396">
        <f>K25</f>
        <v>3200</v>
      </c>
      <c r="L24" s="397">
        <f t="shared" si="0"/>
        <v>100</v>
      </c>
    </row>
    <row r="25" spans="1:12" ht="12.75">
      <c r="A25" s="357">
        <f>A24+1</f>
        <v>19</v>
      </c>
      <c r="B25" s="406"/>
      <c r="C25" s="399" t="s">
        <v>161</v>
      </c>
      <c r="D25" s="400" t="s">
        <v>162</v>
      </c>
      <c r="E25" s="401"/>
      <c r="F25" s="402"/>
      <c r="G25" s="403">
        <f>SUM(G26:G28)</f>
        <v>528</v>
      </c>
      <c r="H25" s="404">
        <f>SUM(H26:H26)</f>
        <v>0</v>
      </c>
      <c r="I25" s="404">
        <f>SUM(I26:I26)</f>
        <v>0</v>
      </c>
      <c r="J25" s="404">
        <f>SUM(J26:J26)</f>
        <v>3200</v>
      </c>
      <c r="K25" s="404">
        <f>SUM(K26:K26)</f>
        <v>3200</v>
      </c>
      <c r="L25" s="405">
        <f t="shared" si="0"/>
        <v>100</v>
      </c>
    </row>
    <row r="26" spans="1:12" ht="12.75">
      <c r="A26" s="357">
        <f>A25+1</f>
        <v>20</v>
      </c>
      <c r="B26" s="398"/>
      <c r="C26" s="407" t="s">
        <v>181</v>
      </c>
      <c r="D26" s="414">
        <v>1</v>
      </c>
      <c r="E26" s="420" t="s">
        <v>182</v>
      </c>
      <c r="F26" s="428"/>
      <c r="G26" s="429">
        <v>18.2</v>
      </c>
      <c r="H26" s="418">
        <v>0</v>
      </c>
      <c r="I26" s="418">
        <v>0</v>
      </c>
      <c r="J26" s="418">
        <f>výdavky!T500</f>
        <v>3200</v>
      </c>
      <c r="K26" s="418">
        <f>výdavky!V500</f>
        <v>3200</v>
      </c>
      <c r="L26" s="419">
        <f t="shared" si="0"/>
        <v>100</v>
      </c>
    </row>
    <row r="27" spans="1:12" ht="12.75">
      <c r="A27" s="357">
        <v>21</v>
      </c>
      <c r="B27" s="430"/>
      <c r="C27" s="383" t="s">
        <v>183</v>
      </c>
      <c r="D27" s="384" t="s">
        <v>184</v>
      </c>
      <c r="E27" s="431"/>
      <c r="F27" s="432"/>
      <c r="G27" s="433">
        <f>G29</f>
        <v>254.9</v>
      </c>
      <c r="H27" s="434">
        <f aca="true" t="shared" si="4" ref="H27:K28">H28</f>
        <v>12500</v>
      </c>
      <c r="I27" s="434">
        <f t="shared" si="4"/>
        <v>12500</v>
      </c>
      <c r="J27" s="434">
        <f t="shared" si="4"/>
        <v>12809.31</v>
      </c>
      <c r="K27" s="434">
        <f t="shared" si="4"/>
        <v>12586.579999999998</v>
      </c>
      <c r="L27" s="435">
        <f t="shared" si="0"/>
        <v>98.26118659006612</v>
      </c>
    </row>
    <row r="28" spans="1:12" s="437" customFormat="1" ht="12.75">
      <c r="A28" s="357">
        <f>A27+1</f>
        <v>22</v>
      </c>
      <c r="B28" s="436"/>
      <c r="C28" s="392"/>
      <c r="D28" s="362" t="s">
        <v>154</v>
      </c>
      <c r="E28" s="393"/>
      <c r="F28" s="394"/>
      <c r="G28" s="395">
        <f>G29</f>
        <v>254.9</v>
      </c>
      <c r="H28" s="396">
        <f t="shared" si="4"/>
        <v>12500</v>
      </c>
      <c r="I28" s="396">
        <f t="shared" si="4"/>
        <v>12500</v>
      </c>
      <c r="J28" s="396">
        <f t="shared" si="4"/>
        <v>12809.31</v>
      </c>
      <c r="K28" s="396">
        <f t="shared" si="4"/>
        <v>12586.579999999998</v>
      </c>
      <c r="L28" s="397">
        <f t="shared" si="0"/>
        <v>98.26118659006612</v>
      </c>
    </row>
    <row r="29" spans="1:12" s="437" customFormat="1" ht="12.75">
      <c r="A29" s="357">
        <f>A28+1</f>
        <v>23</v>
      </c>
      <c r="B29" s="436"/>
      <c r="C29" s="438" t="s">
        <v>161</v>
      </c>
      <c r="D29" s="439" t="s">
        <v>162</v>
      </c>
      <c r="E29" s="401"/>
      <c r="F29" s="440"/>
      <c r="G29" s="441">
        <f>SUM(G34:G37)</f>
        <v>254.9</v>
      </c>
      <c r="H29" s="404">
        <f>SUM(H30,H31,H32,H33,H34)</f>
        <v>12500</v>
      </c>
      <c r="I29" s="404">
        <f>SUM(I30,I31,I32,I33,I34)</f>
        <v>12500</v>
      </c>
      <c r="J29" s="404">
        <f>SUM(J30,J31,J32,J33,J34)</f>
        <v>12809.31</v>
      </c>
      <c r="K29" s="404">
        <f>SUM(K30,K31,K32,K33,K34)</f>
        <v>12586.579999999998</v>
      </c>
      <c r="L29" s="405">
        <f t="shared" si="0"/>
        <v>98.26118659006612</v>
      </c>
    </row>
    <row r="30" spans="1:12" s="437" customFormat="1" ht="12.75">
      <c r="A30" s="357">
        <v>24</v>
      </c>
      <c r="B30" s="436"/>
      <c r="C30" s="442" t="s">
        <v>163</v>
      </c>
      <c r="D30" s="443">
        <v>1</v>
      </c>
      <c r="E30" s="444" t="s">
        <v>164</v>
      </c>
      <c r="F30" s="445" t="s">
        <v>185</v>
      </c>
      <c r="G30" s="446"/>
      <c r="H30" s="412">
        <f>výdavky!M74</f>
        <v>5500</v>
      </c>
      <c r="I30" s="412">
        <f>výdavky!P74</f>
        <v>5500</v>
      </c>
      <c r="J30" s="412">
        <f>výdavky!T74</f>
        <v>5820</v>
      </c>
      <c r="K30" s="412">
        <f>výdavky!V74</f>
        <v>5805.71</v>
      </c>
      <c r="L30" s="413">
        <f t="shared" si="0"/>
        <v>99.7544673539519</v>
      </c>
    </row>
    <row r="31" spans="1:12" s="437" customFormat="1" ht="12.75">
      <c r="A31" s="357">
        <v>25</v>
      </c>
      <c r="B31" s="436"/>
      <c r="C31" s="442" t="s">
        <v>165</v>
      </c>
      <c r="D31" s="447">
        <v>2</v>
      </c>
      <c r="E31" s="448" t="s">
        <v>166</v>
      </c>
      <c r="F31" s="449" t="s">
        <v>185</v>
      </c>
      <c r="G31" s="450"/>
      <c r="H31" s="418">
        <f>výdavky!M75</f>
        <v>1800</v>
      </c>
      <c r="I31" s="418">
        <f>výdavky!P75</f>
        <v>1800</v>
      </c>
      <c r="J31" s="418">
        <f>výdavky!T75</f>
        <v>2070</v>
      </c>
      <c r="K31" s="418">
        <f>výdavky!V75</f>
        <v>2051.68</v>
      </c>
      <c r="L31" s="419">
        <f t="shared" si="0"/>
        <v>99.11497584541063</v>
      </c>
    </row>
    <row r="32" spans="1:12" s="437" customFormat="1" ht="12.75">
      <c r="A32" s="357">
        <v>26</v>
      </c>
      <c r="B32" s="436"/>
      <c r="C32" s="442" t="s">
        <v>179</v>
      </c>
      <c r="D32" s="443">
        <v>3</v>
      </c>
      <c r="E32" s="444" t="s">
        <v>180</v>
      </c>
      <c r="F32" s="445" t="s">
        <v>185</v>
      </c>
      <c r="G32" s="446"/>
      <c r="H32" s="412">
        <f>výdavky!M76</f>
        <v>200</v>
      </c>
      <c r="I32" s="412">
        <f>výdavky!P76</f>
        <v>200</v>
      </c>
      <c r="J32" s="412">
        <f>výdavky!T76</f>
        <v>130</v>
      </c>
      <c r="K32" s="412">
        <f>výdavky!V76</f>
        <v>142.26</v>
      </c>
      <c r="L32" s="413">
        <f t="shared" si="0"/>
        <v>109.43076923076922</v>
      </c>
    </row>
    <row r="33" spans="1:12" s="437" customFormat="1" ht="12.75">
      <c r="A33" s="357">
        <v>27</v>
      </c>
      <c r="B33" s="436"/>
      <c r="C33" s="442" t="s">
        <v>179</v>
      </c>
      <c r="D33" s="447">
        <v>4</v>
      </c>
      <c r="E33" s="448" t="s">
        <v>186</v>
      </c>
      <c r="F33" s="451"/>
      <c r="G33" s="450"/>
      <c r="H33" s="418">
        <f>výdavky!M65</f>
        <v>2000</v>
      </c>
      <c r="I33" s="418">
        <f>výdavky!P65</f>
        <v>2000</v>
      </c>
      <c r="J33" s="418">
        <f>výdavky!T65</f>
        <v>1789.31</v>
      </c>
      <c r="K33" s="418">
        <f>výdavky!V65</f>
        <v>1789.31</v>
      </c>
      <c r="L33" s="419">
        <f t="shared" si="0"/>
        <v>100</v>
      </c>
    </row>
    <row r="34" spans="1:12" s="437" customFormat="1" ht="12.75">
      <c r="A34" s="357">
        <v>28</v>
      </c>
      <c r="B34" s="436"/>
      <c r="C34" s="442" t="s">
        <v>179</v>
      </c>
      <c r="D34" s="414">
        <v>5</v>
      </c>
      <c r="E34" s="448" t="s">
        <v>187</v>
      </c>
      <c r="F34" s="451"/>
      <c r="G34" s="452">
        <f>ROUND(K34/30.126,1)</f>
        <v>92.9</v>
      </c>
      <c r="H34" s="453">
        <f>výdavky!M64</f>
        <v>3000</v>
      </c>
      <c r="I34" s="453">
        <f>výdavky!P64</f>
        <v>3000</v>
      </c>
      <c r="J34" s="453">
        <f>výdavky!T64</f>
        <v>3000</v>
      </c>
      <c r="K34" s="453">
        <f>výdavky!V64</f>
        <v>2797.62</v>
      </c>
      <c r="L34" s="419">
        <f t="shared" si="0"/>
        <v>93.25399999999999</v>
      </c>
    </row>
    <row r="35" spans="1:12" ht="12.75">
      <c r="A35" s="357">
        <f aca="true" t="shared" si="5" ref="A35:A52">A34+1</f>
        <v>29</v>
      </c>
      <c r="B35" s="374">
        <v>2</v>
      </c>
      <c r="C35" s="375" t="s">
        <v>188</v>
      </c>
      <c r="D35" s="376"/>
      <c r="E35" s="376"/>
      <c r="F35" s="377"/>
      <c r="G35" s="378">
        <f>G37</f>
        <v>54</v>
      </c>
      <c r="H35" s="380">
        <f aca="true" t="shared" si="6" ref="H35:K36">H36</f>
        <v>1000</v>
      </c>
      <c r="I35" s="380">
        <f t="shared" si="6"/>
        <v>1400</v>
      </c>
      <c r="J35" s="380">
        <f t="shared" si="6"/>
        <v>1400</v>
      </c>
      <c r="K35" s="380">
        <f t="shared" si="6"/>
        <v>1626.69</v>
      </c>
      <c r="L35" s="381">
        <f t="shared" si="0"/>
        <v>116.19214285714285</v>
      </c>
    </row>
    <row r="36" spans="1:12" ht="12.75">
      <c r="A36" s="357">
        <f t="shared" si="5"/>
        <v>30</v>
      </c>
      <c r="B36" s="391"/>
      <c r="C36" s="392"/>
      <c r="D36" s="361" t="s">
        <v>154</v>
      </c>
      <c r="E36" s="393"/>
      <c r="F36" s="394"/>
      <c r="G36" s="395">
        <f>G37</f>
        <v>54</v>
      </c>
      <c r="H36" s="396">
        <f t="shared" si="6"/>
        <v>1000</v>
      </c>
      <c r="I36" s="396">
        <f t="shared" si="6"/>
        <v>1400</v>
      </c>
      <c r="J36" s="396">
        <f t="shared" si="6"/>
        <v>1400</v>
      </c>
      <c r="K36" s="396">
        <f t="shared" si="6"/>
        <v>1626.69</v>
      </c>
      <c r="L36" s="397">
        <f t="shared" si="0"/>
        <v>116.19214285714285</v>
      </c>
    </row>
    <row r="37" spans="1:12" ht="12.75">
      <c r="A37" s="357">
        <f t="shared" si="5"/>
        <v>31</v>
      </c>
      <c r="B37" s="430"/>
      <c r="C37" s="438" t="s">
        <v>161</v>
      </c>
      <c r="D37" s="439" t="s">
        <v>162</v>
      </c>
      <c r="E37" s="401"/>
      <c r="F37" s="402"/>
      <c r="G37" s="454">
        <f>SUM(G38)</f>
        <v>54</v>
      </c>
      <c r="H37" s="455">
        <f>SUM(H38:H39)</f>
        <v>1000</v>
      </c>
      <c r="I37" s="455">
        <f>SUM(I38:I39)</f>
        <v>1400</v>
      </c>
      <c r="J37" s="455">
        <f>SUM(J38:J39)</f>
        <v>1400</v>
      </c>
      <c r="K37" s="455">
        <f>SUM(K38:K39)</f>
        <v>1626.69</v>
      </c>
      <c r="L37" s="405">
        <f t="shared" si="0"/>
        <v>116.19214285714285</v>
      </c>
    </row>
    <row r="38" spans="1:12" ht="12.75">
      <c r="A38" s="357">
        <f t="shared" si="5"/>
        <v>32</v>
      </c>
      <c r="B38" s="436"/>
      <c r="C38" s="442" t="s">
        <v>189</v>
      </c>
      <c r="D38" s="456" t="s">
        <v>190</v>
      </c>
      <c r="E38" s="409" t="s">
        <v>191</v>
      </c>
      <c r="F38" s="457"/>
      <c r="G38" s="458">
        <f>ROUND(K38/30.126,1)</f>
        <v>54</v>
      </c>
      <c r="H38" s="459">
        <f>výdavky!M68</f>
        <v>1000</v>
      </c>
      <c r="I38" s="459">
        <f>výdavky!P68</f>
        <v>1400</v>
      </c>
      <c r="J38" s="459">
        <f>výdavky!T68</f>
        <v>1400</v>
      </c>
      <c r="K38" s="459">
        <f>výdavky!V68</f>
        <v>1626.69</v>
      </c>
      <c r="L38" s="413">
        <f t="shared" si="0"/>
        <v>116.19214285714285</v>
      </c>
    </row>
    <row r="39" spans="1:12" ht="12.75">
      <c r="A39" s="357">
        <f t="shared" si="5"/>
        <v>33</v>
      </c>
      <c r="B39" s="436"/>
      <c r="C39" s="460" t="s">
        <v>189</v>
      </c>
      <c r="D39" s="461" t="s">
        <v>192</v>
      </c>
      <c r="E39" s="420" t="s">
        <v>193</v>
      </c>
      <c r="F39" s="428"/>
      <c r="G39" s="452"/>
      <c r="H39" s="453">
        <v>0</v>
      </c>
      <c r="I39" s="453">
        <v>0</v>
      </c>
      <c r="J39" s="453">
        <v>0</v>
      </c>
      <c r="K39" s="453">
        <v>0</v>
      </c>
      <c r="L39" s="419">
        <v>0</v>
      </c>
    </row>
    <row r="40" spans="1:12" ht="12.75">
      <c r="A40" s="357">
        <f t="shared" si="5"/>
        <v>34</v>
      </c>
      <c r="B40" s="374">
        <v>3</v>
      </c>
      <c r="C40" s="375" t="s">
        <v>194</v>
      </c>
      <c r="D40" s="376"/>
      <c r="E40" s="376"/>
      <c r="F40" s="377"/>
      <c r="G40" s="378">
        <f>G42</f>
        <v>480.6</v>
      </c>
      <c r="H40" s="380">
        <f>SUM(H41+H49)</f>
        <v>356937</v>
      </c>
      <c r="I40" s="380">
        <f>SUM(I41+I49)</f>
        <v>424049</v>
      </c>
      <c r="J40" s="380">
        <f>SUM(J41+J49)</f>
        <v>214015.17</v>
      </c>
      <c r="K40" s="380">
        <f>SUM(K41+K49)</f>
        <v>213921.69000000003</v>
      </c>
      <c r="L40" s="381">
        <f aca="true" t="shared" si="7" ref="L40:L45">K40/J40*100</f>
        <v>99.95632085333017</v>
      </c>
    </row>
    <row r="41" spans="1:12" ht="12.75">
      <c r="A41" s="357">
        <f t="shared" si="5"/>
        <v>35</v>
      </c>
      <c r="B41" s="391"/>
      <c r="C41" s="392"/>
      <c r="D41" s="361" t="s">
        <v>154</v>
      </c>
      <c r="E41" s="393"/>
      <c r="F41" s="394"/>
      <c r="G41" s="395">
        <f>G42</f>
        <v>480.6</v>
      </c>
      <c r="H41" s="396">
        <f>SUM(H42+H44)</f>
        <v>17300</v>
      </c>
      <c r="I41" s="396">
        <f>SUM(I42+I44)</f>
        <v>17300</v>
      </c>
      <c r="J41" s="396">
        <f>SUM(J42+J44)</f>
        <v>19220</v>
      </c>
      <c r="K41" s="396">
        <f>SUM(K42+K44)</f>
        <v>19215.379999999997</v>
      </c>
      <c r="L41" s="397">
        <f t="shared" si="7"/>
        <v>99.97596253902184</v>
      </c>
    </row>
    <row r="42" spans="1:12" ht="12.75">
      <c r="A42" s="357">
        <f t="shared" si="5"/>
        <v>36</v>
      </c>
      <c r="B42" s="398"/>
      <c r="C42" s="399" t="s">
        <v>195</v>
      </c>
      <c r="D42" s="400" t="s">
        <v>196</v>
      </c>
      <c r="E42" s="401"/>
      <c r="F42" s="402"/>
      <c r="G42" s="403">
        <f>SUM(G43:G43)</f>
        <v>480.6</v>
      </c>
      <c r="H42" s="404">
        <f>H43</f>
        <v>15000</v>
      </c>
      <c r="I42" s="404">
        <f>I43</f>
        <v>13000</v>
      </c>
      <c r="J42" s="404">
        <f>J43</f>
        <v>14500</v>
      </c>
      <c r="K42" s="404">
        <f>K43</f>
        <v>14479.15</v>
      </c>
      <c r="L42" s="405">
        <f t="shared" si="7"/>
        <v>99.85620689655173</v>
      </c>
    </row>
    <row r="43" spans="1:12" ht="12.75">
      <c r="A43" s="357">
        <f t="shared" si="5"/>
        <v>37</v>
      </c>
      <c r="B43" s="398"/>
      <c r="C43" s="462" t="s">
        <v>197</v>
      </c>
      <c r="D43" s="456" t="s">
        <v>190</v>
      </c>
      <c r="E43" s="444" t="s">
        <v>198</v>
      </c>
      <c r="F43" s="445"/>
      <c r="G43" s="463">
        <f>ROUND(K43/30.126,1)</f>
        <v>480.6</v>
      </c>
      <c r="H43" s="412">
        <f>výdavky!M69</f>
        <v>15000</v>
      </c>
      <c r="I43" s="412">
        <f>výdavky!P69</f>
        <v>13000</v>
      </c>
      <c r="J43" s="412">
        <f>výdavky!T69</f>
        <v>14500</v>
      </c>
      <c r="K43" s="412">
        <f>výdavky!V69</f>
        <v>14479.15</v>
      </c>
      <c r="L43" s="413">
        <f t="shared" si="7"/>
        <v>99.85620689655173</v>
      </c>
    </row>
    <row r="44" spans="1:12" ht="12.75">
      <c r="A44" s="357">
        <f t="shared" si="5"/>
        <v>38</v>
      </c>
      <c r="B44" s="398"/>
      <c r="C44" s="399" t="s">
        <v>199</v>
      </c>
      <c r="D44" s="400" t="s">
        <v>200</v>
      </c>
      <c r="E44" s="401"/>
      <c r="F44" s="402"/>
      <c r="G44" s="403">
        <f>SUM(G45:G45)</f>
        <v>133.3</v>
      </c>
      <c r="H44" s="404">
        <f>SUM(H45:H48)</f>
        <v>2300</v>
      </c>
      <c r="I44" s="404">
        <f>SUM(I45:I48)</f>
        <v>4300</v>
      </c>
      <c r="J44" s="404">
        <f>SUM(J45:J48)</f>
        <v>4720</v>
      </c>
      <c r="K44" s="404">
        <f>SUM(K45:K48)</f>
        <v>4736.23</v>
      </c>
      <c r="L44" s="405">
        <f t="shared" si="7"/>
        <v>100.34385593220338</v>
      </c>
    </row>
    <row r="45" spans="1:12" ht="12.75">
      <c r="A45" s="357">
        <f t="shared" si="5"/>
        <v>39</v>
      </c>
      <c r="B45" s="398"/>
      <c r="C45" s="462" t="s">
        <v>201</v>
      </c>
      <c r="D45" s="456" t="s">
        <v>192</v>
      </c>
      <c r="E45" s="409" t="s">
        <v>202</v>
      </c>
      <c r="F45" s="457"/>
      <c r="G45" s="463">
        <f>ROUND(K45/30.126,1)</f>
        <v>133.3</v>
      </c>
      <c r="H45" s="412">
        <f>výdavky!M56</f>
        <v>2000</v>
      </c>
      <c r="I45" s="412">
        <f>výdavky!P56</f>
        <v>4000</v>
      </c>
      <c r="J45" s="412">
        <f>výdavky!T56</f>
        <v>4000</v>
      </c>
      <c r="K45" s="412">
        <f>výdavky!V56</f>
        <v>4014.45</v>
      </c>
      <c r="L45" s="413">
        <f t="shared" si="7"/>
        <v>100.36125</v>
      </c>
    </row>
    <row r="46" spans="1:12" ht="12.75">
      <c r="A46" s="357">
        <f t="shared" si="5"/>
        <v>40</v>
      </c>
      <c r="B46" s="398"/>
      <c r="C46" s="462" t="s">
        <v>201</v>
      </c>
      <c r="D46" s="461" t="s">
        <v>203</v>
      </c>
      <c r="E46" s="420" t="s">
        <v>204</v>
      </c>
      <c r="F46" s="428"/>
      <c r="G46" s="429">
        <f>ROUND(K46/30.126,1)</f>
        <v>0</v>
      </c>
      <c r="H46" s="418">
        <v>0</v>
      </c>
      <c r="I46" s="418">
        <v>0</v>
      </c>
      <c r="J46" s="418">
        <v>0</v>
      </c>
      <c r="K46" s="418">
        <v>0</v>
      </c>
      <c r="L46" s="419">
        <v>0</v>
      </c>
    </row>
    <row r="47" spans="1:12" s="468" customFormat="1" ht="11.25">
      <c r="A47" s="357">
        <f t="shared" si="5"/>
        <v>41</v>
      </c>
      <c r="B47" s="464"/>
      <c r="C47" s="462" t="s">
        <v>201</v>
      </c>
      <c r="D47" s="456" t="s">
        <v>205</v>
      </c>
      <c r="E47" s="465" t="s">
        <v>206</v>
      </c>
      <c r="F47" s="464"/>
      <c r="G47" s="464"/>
      <c r="H47" s="466">
        <v>0</v>
      </c>
      <c r="I47" s="466">
        <v>0</v>
      </c>
      <c r="J47" s="466">
        <v>0</v>
      </c>
      <c r="K47" s="466">
        <v>0</v>
      </c>
      <c r="L47" s="467">
        <v>0</v>
      </c>
    </row>
    <row r="48" spans="1:12" s="468" customFormat="1" ht="11.25">
      <c r="A48" s="357">
        <f t="shared" si="5"/>
        <v>42</v>
      </c>
      <c r="B48" s="464"/>
      <c r="C48" s="462" t="s">
        <v>201</v>
      </c>
      <c r="D48" s="461" t="s">
        <v>207</v>
      </c>
      <c r="E48" s="469" t="s">
        <v>208</v>
      </c>
      <c r="F48" s="470"/>
      <c r="G48" s="470"/>
      <c r="H48" s="471">
        <f>výdavky!M70</f>
        <v>300</v>
      </c>
      <c r="I48" s="471">
        <f>výdavky!P70</f>
        <v>300</v>
      </c>
      <c r="J48" s="471">
        <f>výdavky!T70</f>
        <v>720</v>
      </c>
      <c r="K48" s="471">
        <f>výdavky!V70</f>
        <v>721.78</v>
      </c>
      <c r="L48" s="472">
        <f aca="true" t="shared" si="8" ref="L48:L59">K48/J48*100</f>
        <v>100.24722222222222</v>
      </c>
    </row>
    <row r="49" spans="1:12" ht="12.75">
      <c r="A49" s="357">
        <f t="shared" si="5"/>
        <v>43</v>
      </c>
      <c r="B49" s="398"/>
      <c r="C49" s="473"/>
      <c r="D49" s="362" t="s">
        <v>209</v>
      </c>
      <c r="E49" s="427"/>
      <c r="F49" s="394"/>
      <c r="G49" s="395" t="e">
        <f>G50</f>
        <v>#N/A</v>
      </c>
      <c r="H49" s="396">
        <f>H50</f>
        <v>339637</v>
      </c>
      <c r="I49" s="396">
        <f>I50</f>
        <v>406749</v>
      </c>
      <c r="J49" s="396">
        <f>J50</f>
        <v>194795.17</v>
      </c>
      <c r="K49" s="396">
        <f>K50</f>
        <v>194706.31000000003</v>
      </c>
      <c r="L49" s="397">
        <f t="shared" si="8"/>
        <v>99.95438285251119</v>
      </c>
    </row>
    <row r="50" spans="1:12" ht="12.75">
      <c r="A50" s="357">
        <f t="shared" si="5"/>
        <v>44</v>
      </c>
      <c r="B50" s="398"/>
      <c r="C50" s="399" t="s">
        <v>161</v>
      </c>
      <c r="D50" s="400" t="s">
        <v>200</v>
      </c>
      <c r="E50" s="401"/>
      <c r="F50" s="402"/>
      <c r="G50" s="474" t="e">
        <f>NA()</f>
        <v>#N/A</v>
      </c>
      <c r="H50" s="475">
        <f>SUM(H51:H52)</f>
        <v>339637</v>
      </c>
      <c r="I50" s="475">
        <f>SUM(I51:I52)</f>
        <v>406749</v>
      </c>
      <c r="J50" s="475">
        <f>SUM(J51:J52)</f>
        <v>194795.17</v>
      </c>
      <c r="K50" s="475">
        <f>SUM(K51:K52)</f>
        <v>194706.31000000003</v>
      </c>
      <c r="L50" s="405">
        <f t="shared" si="8"/>
        <v>99.95438285251119</v>
      </c>
    </row>
    <row r="51" spans="1:12" s="468" customFormat="1" ht="11.25">
      <c r="A51" s="357">
        <f t="shared" si="5"/>
        <v>45</v>
      </c>
      <c r="B51" s="398"/>
      <c r="C51" s="407" t="s">
        <v>210</v>
      </c>
      <c r="D51" s="456" t="s">
        <v>211</v>
      </c>
      <c r="E51" s="444" t="s">
        <v>212</v>
      </c>
      <c r="F51" s="476"/>
      <c r="G51" s="477"/>
      <c r="H51" s="478">
        <f>výdavky!M551</f>
        <v>6000</v>
      </c>
      <c r="I51" s="478">
        <f>výdavky!P551</f>
        <v>6000</v>
      </c>
      <c r="J51" s="478">
        <f>výdavky!T551</f>
        <v>6000</v>
      </c>
      <c r="K51" s="478">
        <f>výdavky!V551</f>
        <v>5911.14</v>
      </c>
      <c r="L51" s="413">
        <f t="shared" si="8"/>
        <v>98.519</v>
      </c>
    </row>
    <row r="52" spans="1:12" s="468" customFormat="1" ht="11.25">
      <c r="A52" s="357">
        <f t="shared" si="5"/>
        <v>46</v>
      </c>
      <c r="B52" s="398"/>
      <c r="C52" s="407" t="s">
        <v>213</v>
      </c>
      <c r="D52" s="461" t="s">
        <v>214</v>
      </c>
      <c r="E52" s="448" t="s">
        <v>215</v>
      </c>
      <c r="F52" s="451"/>
      <c r="G52" s="479"/>
      <c r="H52" s="480">
        <f>výdavky!M552</f>
        <v>333637</v>
      </c>
      <c r="I52" s="480">
        <f>výdavky!P552</f>
        <v>400749</v>
      </c>
      <c r="J52" s="480">
        <f>výdavky!T552</f>
        <v>188795.17</v>
      </c>
      <c r="K52" s="480">
        <f>výdavky!V552</f>
        <v>188795.17</v>
      </c>
      <c r="L52" s="419">
        <f t="shared" si="8"/>
        <v>100</v>
      </c>
    </row>
    <row r="53" spans="1:12" ht="12.75">
      <c r="A53" s="357">
        <v>43</v>
      </c>
      <c r="B53" s="481">
        <v>4</v>
      </c>
      <c r="C53" s="482" t="s">
        <v>216</v>
      </c>
      <c r="D53" s="376"/>
      <c r="E53" s="376"/>
      <c r="F53" s="377"/>
      <c r="G53" s="378">
        <f>SUM(G55)</f>
        <v>426.00000000000006</v>
      </c>
      <c r="H53" s="380">
        <f>SUM(H54)</f>
        <v>12815</v>
      </c>
      <c r="I53" s="380">
        <f>SUM(I54)</f>
        <v>12815</v>
      </c>
      <c r="J53" s="380">
        <f>J54</f>
        <v>12815</v>
      </c>
      <c r="K53" s="380">
        <f>SUM(K54)</f>
        <v>12839.510000000002</v>
      </c>
      <c r="L53" s="381">
        <f t="shared" si="8"/>
        <v>100.19126024190403</v>
      </c>
    </row>
    <row r="54" spans="1:12" ht="12.75">
      <c r="A54" s="357">
        <v>49</v>
      </c>
      <c r="B54" s="483"/>
      <c r="C54" s="473"/>
      <c r="D54" s="361" t="s">
        <v>154</v>
      </c>
      <c r="E54" s="393"/>
      <c r="F54" s="394"/>
      <c r="G54" s="395">
        <f>G55</f>
        <v>426.00000000000006</v>
      </c>
      <c r="H54" s="396">
        <f>H55</f>
        <v>12815</v>
      </c>
      <c r="I54" s="396">
        <f>I55</f>
        <v>12815</v>
      </c>
      <c r="J54" s="396">
        <f>J55</f>
        <v>12815</v>
      </c>
      <c r="K54" s="396">
        <f>K55</f>
        <v>12839.510000000002</v>
      </c>
      <c r="L54" s="397">
        <f t="shared" si="8"/>
        <v>100.19126024190403</v>
      </c>
    </row>
    <row r="55" spans="1:12" ht="12.75">
      <c r="A55" s="357">
        <f aca="true" t="shared" si="9" ref="A55:A61">A54+1</f>
        <v>50</v>
      </c>
      <c r="B55" s="398"/>
      <c r="C55" s="484" t="s">
        <v>217</v>
      </c>
      <c r="D55" s="439" t="s">
        <v>218</v>
      </c>
      <c r="E55" s="401"/>
      <c r="F55" s="402"/>
      <c r="G55" s="441">
        <f>SUM(G56:G61)</f>
        <v>426.00000000000006</v>
      </c>
      <c r="H55" s="404">
        <f>H56+H57+H58+H59+H60+H61</f>
        <v>12815</v>
      </c>
      <c r="I55" s="404">
        <f>SUM(I56:I61)</f>
        <v>12815</v>
      </c>
      <c r="J55" s="404">
        <f>SUM(J56:J61)</f>
        <v>12815</v>
      </c>
      <c r="K55" s="404">
        <f>SUM(K56:K61)</f>
        <v>12839.510000000002</v>
      </c>
      <c r="L55" s="405">
        <f t="shared" si="8"/>
        <v>100.19126024190403</v>
      </c>
    </row>
    <row r="56" spans="1:12" ht="12.75">
      <c r="A56" s="357">
        <f t="shared" si="9"/>
        <v>51</v>
      </c>
      <c r="B56" s="398"/>
      <c r="C56" s="462" t="s">
        <v>163</v>
      </c>
      <c r="D56" s="456" t="s">
        <v>190</v>
      </c>
      <c r="E56" s="409" t="s">
        <v>219</v>
      </c>
      <c r="F56" s="457"/>
      <c r="G56" s="463">
        <f aca="true" t="shared" si="10" ref="G56:G61">ROUND(K56/30.126,1)</f>
        <v>296.1</v>
      </c>
      <c r="H56" s="412">
        <f>výdavky!M79</f>
        <v>9000</v>
      </c>
      <c r="I56" s="412">
        <f>výdavky!P79</f>
        <v>9000</v>
      </c>
      <c r="J56" s="412">
        <f>výdavky!T79</f>
        <v>9000</v>
      </c>
      <c r="K56" s="412">
        <f>výdavky!V79+výdavky!V80</f>
        <v>8921.37</v>
      </c>
      <c r="L56" s="413">
        <f t="shared" si="8"/>
        <v>99.12633333333333</v>
      </c>
    </row>
    <row r="57" spans="1:12" ht="12.75">
      <c r="A57" s="357">
        <f t="shared" si="9"/>
        <v>52</v>
      </c>
      <c r="B57" s="398"/>
      <c r="C57" s="462" t="s">
        <v>165</v>
      </c>
      <c r="D57" s="461" t="s">
        <v>192</v>
      </c>
      <c r="E57" s="420" t="s">
        <v>220</v>
      </c>
      <c r="F57" s="428"/>
      <c r="G57" s="429">
        <f t="shared" si="10"/>
        <v>94.9</v>
      </c>
      <c r="H57" s="418">
        <f>výdavky!M81</f>
        <v>3200</v>
      </c>
      <c r="I57" s="418">
        <f>výdavky!P81</f>
        <v>3200</v>
      </c>
      <c r="J57" s="418">
        <f>výdavky!T81</f>
        <v>3200</v>
      </c>
      <c r="K57" s="418">
        <f>výdavky!V81+výdavky!V82</f>
        <v>2859.7799999999997</v>
      </c>
      <c r="L57" s="419">
        <f t="shared" si="8"/>
        <v>89.36812499999999</v>
      </c>
    </row>
    <row r="58" spans="1:12" ht="12.75">
      <c r="A58" s="357">
        <f t="shared" si="9"/>
        <v>53</v>
      </c>
      <c r="B58" s="398"/>
      <c r="C58" s="462" t="s">
        <v>201</v>
      </c>
      <c r="D58" s="456" t="s">
        <v>203</v>
      </c>
      <c r="E58" s="409" t="s">
        <v>221</v>
      </c>
      <c r="F58" s="457"/>
      <c r="G58" s="463">
        <f t="shared" si="10"/>
        <v>0.1</v>
      </c>
      <c r="H58" s="412">
        <f>výdavky!M83</f>
        <v>15</v>
      </c>
      <c r="I58" s="412">
        <f>výdavky!P83</f>
        <v>15</v>
      </c>
      <c r="J58" s="412">
        <f>výdavky!T83</f>
        <v>15</v>
      </c>
      <c r="K58" s="412">
        <f>výdavky!V83</f>
        <v>4.2</v>
      </c>
      <c r="L58" s="413">
        <f t="shared" si="8"/>
        <v>28.000000000000004</v>
      </c>
    </row>
    <row r="59" spans="1:12" ht="12.75">
      <c r="A59" s="357">
        <f t="shared" si="9"/>
        <v>54</v>
      </c>
      <c r="B59" s="398"/>
      <c r="C59" s="462" t="s">
        <v>201</v>
      </c>
      <c r="D59" s="461" t="s">
        <v>205</v>
      </c>
      <c r="E59" s="415" t="s">
        <v>222</v>
      </c>
      <c r="F59" s="449"/>
      <c r="G59" s="429">
        <f t="shared" si="10"/>
        <v>31.8</v>
      </c>
      <c r="H59" s="418">
        <f>výdavky!M84</f>
        <v>400</v>
      </c>
      <c r="I59" s="418">
        <f>výdavky!P84</f>
        <v>400</v>
      </c>
      <c r="J59" s="418">
        <f>výdavky!T84</f>
        <v>400</v>
      </c>
      <c r="K59" s="418">
        <f>výdavky!V84</f>
        <v>959.47</v>
      </c>
      <c r="L59" s="419">
        <f t="shared" si="8"/>
        <v>239.86749999999998</v>
      </c>
    </row>
    <row r="60" spans="1:12" ht="12.75">
      <c r="A60" s="357">
        <f t="shared" si="9"/>
        <v>55</v>
      </c>
      <c r="B60" s="398"/>
      <c r="C60" s="462" t="s">
        <v>201</v>
      </c>
      <c r="D60" s="456" t="s">
        <v>207</v>
      </c>
      <c r="E60" s="485" t="s">
        <v>223</v>
      </c>
      <c r="F60" s="445"/>
      <c r="G60" s="463">
        <f t="shared" si="10"/>
        <v>0</v>
      </c>
      <c r="H60" s="412">
        <v>0</v>
      </c>
      <c r="I60" s="412">
        <v>0</v>
      </c>
      <c r="J60" s="412">
        <v>0</v>
      </c>
      <c r="K60" s="412">
        <v>0</v>
      </c>
      <c r="L60" s="413">
        <v>0</v>
      </c>
    </row>
    <row r="61" spans="1:12" ht="12.75">
      <c r="A61" s="357">
        <f t="shared" si="9"/>
        <v>56</v>
      </c>
      <c r="B61" s="398"/>
      <c r="C61" s="462" t="s">
        <v>201</v>
      </c>
      <c r="D61" s="461" t="s">
        <v>211</v>
      </c>
      <c r="E61" s="415" t="s">
        <v>180</v>
      </c>
      <c r="F61" s="449"/>
      <c r="G61" s="429">
        <f t="shared" si="10"/>
        <v>3.1</v>
      </c>
      <c r="H61" s="418">
        <f>výdavky!M88</f>
        <v>200</v>
      </c>
      <c r="I61" s="418">
        <f>výdavky!P88</f>
        <v>200</v>
      </c>
      <c r="J61" s="418">
        <f>výdavky!T88</f>
        <v>200</v>
      </c>
      <c r="K61" s="418">
        <f>výdavky!V88</f>
        <v>94.69</v>
      </c>
      <c r="L61" s="419">
        <f>K61/J61*100</f>
        <v>47.345</v>
      </c>
    </row>
    <row r="62" spans="1:12" ht="12.75">
      <c r="A62" s="357">
        <v>57</v>
      </c>
      <c r="B62" s="374">
        <v>5</v>
      </c>
      <c r="C62" s="486" t="s">
        <v>224</v>
      </c>
      <c r="D62" s="376"/>
      <c r="E62" s="376"/>
      <c r="F62" s="487"/>
      <c r="G62" s="378">
        <v>0</v>
      </c>
      <c r="H62" s="380">
        <f aca="true" t="shared" si="11" ref="H62:K63">H63</f>
        <v>0</v>
      </c>
      <c r="I62" s="380">
        <f t="shared" si="11"/>
        <v>0</v>
      </c>
      <c r="J62" s="380">
        <f t="shared" si="11"/>
        <v>0</v>
      </c>
      <c r="K62" s="380">
        <f t="shared" si="11"/>
        <v>0</v>
      </c>
      <c r="L62" s="381">
        <v>0</v>
      </c>
    </row>
    <row r="63" spans="1:12" ht="12.75">
      <c r="A63" s="357">
        <f>A62+1</f>
        <v>58</v>
      </c>
      <c r="B63" s="391"/>
      <c r="C63" s="392"/>
      <c r="D63" s="362" t="s">
        <v>154</v>
      </c>
      <c r="E63" s="393"/>
      <c r="F63" s="394"/>
      <c r="G63" s="395">
        <f>G64</f>
        <v>0</v>
      </c>
      <c r="H63" s="396">
        <f t="shared" si="11"/>
        <v>0</v>
      </c>
      <c r="I63" s="396">
        <f t="shared" si="11"/>
        <v>0</v>
      </c>
      <c r="J63" s="396">
        <f t="shared" si="11"/>
        <v>0</v>
      </c>
      <c r="K63" s="396">
        <f t="shared" si="11"/>
        <v>0</v>
      </c>
      <c r="L63" s="397">
        <v>0</v>
      </c>
    </row>
    <row r="64" spans="1:12" ht="12.75">
      <c r="A64" s="357">
        <f>A63+1</f>
        <v>59</v>
      </c>
      <c r="B64" s="391"/>
      <c r="C64" s="488" t="s">
        <v>225</v>
      </c>
      <c r="D64" s="439" t="s">
        <v>226</v>
      </c>
      <c r="E64" s="401"/>
      <c r="F64" s="440"/>
      <c r="G64" s="441">
        <f>SUM(G65:G65)</f>
        <v>0</v>
      </c>
      <c r="H64" s="404">
        <f>SUM(H65:H66)</f>
        <v>0</v>
      </c>
      <c r="I64" s="404">
        <f>SUM(I65:I66)</f>
        <v>0</v>
      </c>
      <c r="J64" s="404">
        <f>SUM(J65:J66)</f>
        <v>0</v>
      </c>
      <c r="K64" s="404">
        <f>SUM(K65:K66)</f>
        <v>0</v>
      </c>
      <c r="L64" s="405">
        <v>0</v>
      </c>
    </row>
    <row r="65" spans="1:12" ht="12.75">
      <c r="A65" s="357">
        <f>A64+1</f>
        <v>60</v>
      </c>
      <c r="B65" s="391"/>
      <c r="C65" s="489">
        <v>630</v>
      </c>
      <c r="D65" s="447">
        <v>1</v>
      </c>
      <c r="E65" s="490" t="s">
        <v>227</v>
      </c>
      <c r="F65" s="491"/>
      <c r="G65" s="492"/>
      <c r="H65" s="480">
        <v>0</v>
      </c>
      <c r="I65" s="480">
        <v>0</v>
      </c>
      <c r="J65" s="480">
        <v>0</v>
      </c>
      <c r="K65" s="480">
        <v>0</v>
      </c>
      <c r="L65" s="419">
        <v>0</v>
      </c>
    </row>
    <row r="66" spans="1:12" ht="12.75">
      <c r="A66" s="493">
        <f>A65+1</f>
        <v>61</v>
      </c>
      <c r="B66" s="494"/>
      <c r="C66" s="495">
        <v>630</v>
      </c>
      <c r="D66" s="496">
        <v>2</v>
      </c>
      <c r="E66" s="497" t="s">
        <v>228</v>
      </c>
      <c r="F66" s="498"/>
      <c r="G66" s="499"/>
      <c r="H66" s="500">
        <v>0</v>
      </c>
      <c r="I66" s="500">
        <v>0</v>
      </c>
      <c r="J66" s="500">
        <v>0</v>
      </c>
      <c r="K66" s="500">
        <v>0</v>
      </c>
      <c r="L66" s="501">
        <v>0</v>
      </c>
    </row>
  </sheetData>
  <mergeCells count="3">
    <mergeCell ref="H3:J3"/>
    <mergeCell ref="K3:L3"/>
    <mergeCell ref="D4:F6"/>
  </mergeCells>
  <printOptions/>
  <pageMargins left="0.5902777777777778" right="0.19652777777777777" top="0.5902777777777778" bottom="0.39375" header="0.5118055555555556" footer="0.5118055555555556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I8" sqref="I8"/>
    </sheetView>
  </sheetViews>
  <sheetFormatPr defaultColWidth="9.00390625" defaultRowHeight="12.75"/>
  <cols>
    <col min="1" max="1" width="3.625" style="318" customWidth="1"/>
    <col min="2" max="2" width="4.125" style="318" customWidth="1"/>
    <col min="3" max="3" width="9.125" style="318" customWidth="1"/>
    <col min="4" max="4" width="3.375" style="318" customWidth="1"/>
    <col min="5" max="5" width="31.125" style="318" customWidth="1"/>
    <col min="6" max="6" width="11.875" style="318" customWidth="1"/>
    <col min="7" max="7" width="0" style="318" hidden="1" customWidth="1"/>
    <col min="8" max="9" width="9.125" style="318" customWidth="1"/>
    <col min="10" max="10" width="8.375" style="318" customWidth="1"/>
    <col min="11" max="16384" width="9.125" style="318" customWidth="1"/>
  </cols>
  <sheetData>
    <row r="1" spans="1:12" ht="15.75">
      <c r="A1" s="316"/>
      <c r="B1" s="322" t="s">
        <v>229</v>
      </c>
      <c r="E1" s="322" t="s">
        <v>230</v>
      </c>
      <c r="F1" s="320"/>
      <c r="G1" s="502" t="e">
        <f>G2-G7</f>
        <v>#N/A</v>
      </c>
      <c r="H1" s="502"/>
      <c r="I1" s="502"/>
      <c r="J1" s="503">
        <f>J2-J7</f>
        <v>0</v>
      </c>
      <c r="K1" s="503">
        <f>K2-K7</f>
        <v>0</v>
      </c>
      <c r="L1" s="503">
        <f>L2-L7</f>
        <v>0</v>
      </c>
    </row>
    <row r="2" spans="1:12" ht="16.5" thickBot="1">
      <c r="A2" s="316"/>
      <c r="B2" s="322"/>
      <c r="G2" s="504" t="e">
        <f>SUM(G8:G10)</f>
        <v>#N/A</v>
      </c>
      <c r="H2" s="504"/>
      <c r="I2" s="504"/>
      <c r="J2" s="330">
        <f>SUM(J8:J10)</f>
        <v>520</v>
      </c>
      <c r="K2" s="330">
        <f>SUM(K8:K10)</f>
        <v>590.9300000000001</v>
      </c>
      <c r="L2" s="330">
        <f>SUM(L8:L10)</f>
        <v>113.64038461538463</v>
      </c>
    </row>
    <row r="3" spans="1:12" ht="16.5" thickBot="1">
      <c r="A3" s="331"/>
      <c r="B3" s="332"/>
      <c r="C3" s="333"/>
      <c r="D3" s="333"/>
      <c r="E3" s="334"/>
      <c r="F3" s="335"/>
      <c r="G3" s="336" t="s">
        <v>137</v>
      </c>
      <c r="H3" s="1598" t="s">
        <v>138</v>
      </c>
      <c r="I3" s="1599"/>
      <c r="J3" s="1600"/>
      <c r="K3" s="1601" t="s">
        <v>139</v>
      </c>
      <c r="L3" s="1602"/>
    </row>
    <row r="4" spans="1:12" ht="13.5" thickBot="1">
      <c r="A4" s="337"/>
      <c r="B4" s="338" t="s">
        <v>140</v>
      </c>
      <c r="C4" s="339" t="s">
        <v>141</v>
      </c>
      <c r="D4" s="1604" t="s">
        <v>142</v>
      </c>
      <c r="E4" s="1604"/>
      <c r="F4" s="1604"/>
      <c r="G4" s="340"/>
      <c r="H4" s="341">
        <v>2012</v>
      </c>
      <c r="I4" s="341" t="s">
        <v>143</v>
      </c>
      <c r="J4" s="341" t="s">
        <v>144</v>
      </c>
      <c r="K4" s="342">
        <v>2012</v>
      </c>
      <c r="L4" s="342" t="s">
        <v>15</v>
      </c>
    </row>
    <row r="5" spans="1:12" ht="12.75">
      <c r="A5" s="337"/>
      <c r="B5" s="338" t="s">
        <v>145</v>
      </c>
      <c r="C5" s="339" t="s">
        <v>146</v>
      </c>
      <c r="D5" s="1604"/>
      <c r="E5" s="1604"/>
      <c r="F5" s="1604"/>
      <c r="G5" s="343" t="s">
        <v>147</v>
      </c>
      <c r="H5" s="344" t="s">
        <v>148</v>
      </c>
      <c r="I5" s="344" t="s">
        <v>148</v>
      </c>
      <c r="J5" s="344" t="s">
        <v>148</v>
      </c>
      <c r="K5" s="345" t="s">
        <v>149</v>
      </c>
      <c r="L5" s="345"/>
    </row>
    <row r="6" spans="1:12" ht="13.5" thickBot="1">
      <c r="A6" s="505"/>
      <c r="B6" s="506" t="s">
        <v>150</v>
      </c>
      <c r="C6" s="507" t="s">
        <v>151</v>
      </c>
      <c r="D6" s="1604"/>
      <c r="E6" s="1604"/>
      <c r="F6" s="1604"/>
      <c r="G6" s="508">
        <v>1</v>
      </c>
      <c r="H6" s="346">
        <v>1</v>
      </c>
      <c r="I6" s="346">
        <v>2</v>
      </c>
      <c r="J6" s="347">
        <v>3</v>
      </c>
      <c r="K6" s="348">
        <v>4</v>
      </c>
      <c r="L6" s="348">
        <v>5</v>
      </c>
    </row>
    <row r="7" spans="1:12" ht="15.75" thickBot="1">
      <c r="A7" s="357">
        <v>1</v>
      </c>
      <c r="B7" s="509" t="s">
        <v>229</v>
      </c>
      <c r="C7" s="510"/>
      <c r="D7" s="511"/>
      <c r="E7" s="512" t="s">
        <v>230</v>
      </c>
      <c r="F7" s="513"/>
      <c r="G7" s="514" t="e">
        <f>G11+"#REF!#REF!"</f>
        <v>#N/A</v>
      </c>
      <c r="H7" s="1498">
        <f>SUM(H8:H10)</f>
        <v>300</v>
      </c>
      <c r="I7" s="1497">
        <f>SUM(I8:I10)</f>
        <v>440</v>
      </c>
      <c r="J7" s="355">
        <f>SUM(J8:J10)</f>
        <v>520</v>
      </c>
      <c r="K7" s="355">
        <f>SUM(K8:K10)</f>
        <v>590.9300000000001</v>
      </c>
      <c r="L7" s="356">
        <f>K7/J7*100</f>
        <v>113.64038461538463</v>
      </c>
    </row>
    <row r="8" spans="1:12" ht="12.75">
      <c r="A8" s="357">
        <f aca="true" t="shared" si="0" ref="A8:A15">A7+1</f>
        <v>2</v>
      </c>
      <c r="B8" s="516" t="s">
        <v>153</v>
      </c>
      <c r="C8" s="359" t="s">
        <v>154</v>
      </c>
      <c r="D8" s="360"/>
      <c r="E8" s="361"/>
      <c r="F8" s="362"/>
      <c r="G8" s="517" t="e">
        <f>G12+"#REF!#REF!"</f>
        <v>#N/A</v>
      </c>
      <c r="H8" s="518">
        <f>SUM(H12)</f>
        <v>300</v>
      </c>
      <c r="I8" s="519">
        <f>SUM(I12)</f>
        <v>440</v>
      </c>
      <c r="J8" s="519">
        <f>SUM(J12)</f>
        <v>520</v>
      </c>
      <c r="K8" s="519">
        <f>SUM(K12)</f>
        <v>590.9300000000001</v>
      </c>
      <c r="L8" s="365">
        <f>K8/J8*100</f>
        <v>113.64038461538463</v>
      </c>
    </row>
    <row r="9" spans="1:12" ht="12.75">
      <c r="A9" s="357">
        <f t="shared" si="0"/>
        <v>3</v>
      </c>
      <c r="B9" s="516" t="s">
        <v>155</v>
      </c>
      <c r="C9" s="359" t="s">
        <v>156</v>
      </c>
      <c r="D9" s="360"/>
      <c r="E9" s="361"/>
      <c r="F9" s="362"/>
      <c r="G9" s="517" t="str">
        <f>"$#REF!$#REF!"</f>
        <v>$#REF!$#REF!</v>
      </c>
      <c r="H9" s="520">
        <v>0</v>
      </c>
      <c r="I9" s="519">
        <v>0</v>
      </c>
      <c r="J9" s="519">
        <v>0</v>
      </c>
      <c r="K9" s="519">
        <v>0</v>
      </c>
      <c r="L9" s="365">
        <v>0</v>
      </c>
    </row>
    <row r="10" spans="1:12" ht="12.75">
      <c r="A10" s="357">
        <f t="shared" si="0"/>
        <v>4</v>
      </c>
      <c r="B10" s="521"/>
      <c r="C10" s="367" t="s">
        <v>157</v>
      </c>
      <c r="D10" s="368"/>
      <c r="E10" s="369"/>
      <c r="F10" s="370"/>
      <c r="G10" s="522">
        <v>0</v>
      </c>
      <c r="H10" s="523">
        <v>0</v>
      </c>
      <c r="I10" s="524">
        <v>0</v>
      </c>
      <c r="J10" s="524">
        <v>0</v>
      </c>
      <c r="K10" s="524">
        <v>0</v>
      </c>
      <c r="L10" s="373">
        <v>0</v>
      </c>
    </row>
    <row r="11" spans="1:12" ht="12.75">
      <c r="A11" s="357">
        <f t="shared" si="0"/>
        <v>5</v>
      </c>
      <c r="B11" s="525">
        <v>1</v>
      </c>
      <c r="C11" s="486" t="s">
        <v>231</v>
      </c>
      <c r="D11" s="376"/>
      <c r="E11" s="376"/>
      <c r="F11" s="377"/>
      <c r="G11" s="378" t="e">
        <f>SUM(G13)+"$#REF!$#REF!"</f>
        <v>#N/A</v>
      </c>
      <c r="H11" s="526">
        <f aca="true" t="shared" si="1" ref="H11:K12">H12</f>
        <v>300</v>
      </c>
      <c r="I11" s="380">
        <f t="shared" si="1"/>
        <v>440</v>
      </c>
      <c r="J11" s="380">
        <f t="shared" si="1"/>
        <v>520</v>
      </c>
      <c r="K11" s="380">
        <f t="shared" si="1"/>
        <v>590.9300000000001</v>
      </c>
      <c r="L11" s="381">
        <f>K11/J11*100</f>
        <v>113.64038461538463</v>
      </c>
    </row>
    <row r="12" spans="1:12" ht="12.75">
      <c r="A12" s="357">
        <f t="shared" si="0"/>
        <v>6</v>
      </c>
      <c r="B12" s="527"/>
      <c r="C12" s="392"/>
      <c r="D12" s="362" t="s">
        <v>154</v>
      </c>
      <c r="E12" s="393"/>
      <c r="F12" s="394"/>
      <c r="G12" s="395" t="e">
        <f>G13</f>
        <v>#N/A</v>
      </c>
      <c r="H12" s="528">
        <f t="shared" si="1"/>
        <v>300</v>
      </c>
      <c r="I12" s="396">
        <f t="shared" si="1"/>
        <v>440</v>
      </c>
      <c r="J12" s="396">
        <f t="shared" si="1"/>
        <v>520</v>
      </c>
      <c r="K12" s="396">
        <f t="shared" si="1"/>
        <v>590.9300000000001</v>
      </c>
      <c r="L12" s="397">
        <f>K12/J12*100</f>
        <v>113.64038461538463</v>
      </c>
    </row>
    <row r="13" spans="1:12" ht="12.75">
      <c r="A13" s="357">
        <f t="shared" si="0"/>
        <v>7</v>
      </c>
      <c r="B13" s="529"/>
      <c r="C13" s="530" t="s">
        <v>232</v>
      </c>
      <c r="D13" s="439" t="s">
        <v>231</v>
      </c>
      <c r="E13" s="531"/>
      <c r="F13" s="532"/>
      <c r="G13" s="441" t="e">
        <f>NA()</f>
        <v>#N/A</v>
      </c>
      <c r="H13" s="533">
        <f>SUM(H14:H15)</f>
        <v>300</v>
      </c>
      <c r="I13" s="404">
        <f>SUM(I14:I15)</f>
        <v>440</v>
      </c>
      <c r="J13" s="404">
        <f>SUM(J14:J15)</f>
        <v>520</v>
      </c>
      <c r="K13" s="404">
        <f>SUM(K14:K15)</f>
        <v>590.9300000000001</v>
      </c>
      <c r="L13" s="405">
        <f>K13/J13*100</f>
        <v>113.64038461538463</v>
      </c>
    </row>
    <row r="14" spans="1:12" ht="12.75">
      <c r="A14" s="357">
        <f t="shared" si="0"/>
        <v>8</v>
      </c>
      <c r="B14" s="529"/>
      <c r="C14" s="460" t="s">
        <v>169</v>
      </c>
      <c r="D14" s="461" t="s">
        <v>190</v>
      </c>
      <c r="E14" s="415" t="s">
        <v>180</v>
      </c>
      <c r="F14" s="449"/>
      <c r="G14" s="450"/>
      <c r="H14" s="534">
        <f>výdavky!M103</f>
        <v>100</v>
      </c>
      <c r="I14" s="418">
        <f>výdavky!P103</f>
        <v>240</v>
      </c>
      <c r="J14" s="418">
        <f>výdavky!T103</f>
        <v>320</v>
      </c>
      <c r="K14" s="418">
        <f>výdavky!V103+výdavky!V104</f>
        <v>395.57</v>
      </c>
      <c r="L14" s="419">
        <f>K14/J14*100</f>
        <v>123.61562500000001</v>
      </c>
    </row>
    <row r="15" spans="1:12" ht="12.75">
      <c r="A15" s="493">
        <f t="shared" si="0"/>
        <v>9</v>
      </c>
      <c r="B15" s="535"/>
      <c r="C15" s="536" t="s">
        <v>179</v>
      </c>
      <c r="D15" s="537" t="s">
        <v>192</v>
      </c>
      <c r="E15" s="538" t="s">
        <v>233</v>
      </c>
      <c r="F15" s="539"/>
      <c r="G15" s="540"/>
      <c r="H15" s="541">
        <f>výdavky!M105</f>
        <v>200</v>
      </c>
      <c r="I15" s="542">
        <f>výdavky!P105</f>
        <v>200</v>
      </c>
      <c r="J15" s="542">
        <f>výdavky!T105</f>
        <v>200</v>
      </c>
      <c r="K15" s="542">
        <f>výdavky!V105</f>
        <v>195.36</v>
      </c>
      <c r="L15" s="543">
        <f>K15/J15*100</f>
        <v>97.68</v>
      </c>
    </row>
  </sheetData>
  <mergeCells count="3">
    <mergeCell ref="H3:J3"/>
    <mergeCell ref="K3:L3"/>
    <mergeCell ref="D4:F6"/>
  </mergeCells>
  <printOptions/>
  <pageMargins left="0.5902777777777778" right="0.19652777777777777" top="0.5902777777777778" bottom="0.39375" header="0.5118055555555556" footer="0.5118055555555556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I14" sqref="I14"/>
    </sheetView>
  </sheetViews>
  <sheetFormatPr defaultColWidth="9.00390625" defaultRowHeight="12.75"/>
  <cols>
    <col min="1" max="1" width="3.625" style="316" customWidth="1"/>
    <col min="2" max="2" width="4.125" style="317" customWidth="1"/>
    <col min="3" max="3" width="7.625" style="318" customWidth="1"/>
    <col min="4" max="4" width="3.375" style="318" customWidth="1"/>
    <col min="5" max="5" width="31.375" style="318" customWidth="1"/>
    <col min="6" max="6" width="15.625" style="318" customWidth="1"/>
    <col min="7" max="7" width="0" style="318" hidden="1" customWidth="1"/>
    <col min="8" max="9" width="9.125" style="318" customWidth="1"/>
    <col min="10" max="12" width="7.25390625" style="318" customWidth="1"/>
    <col min="13" max="16384" width="9.125" style="318" customWidth="1"/>
  </cols>
  <sheetData>
    <row r="1" spans="1:12" ht="15.75">
      <c r="A1" s="398"/>
      <c r="B1" s="544" t="s">
        <v>234</v>
      </c>
      <c r="C1" s="319"/>
      <c r="D1" s="319"/>
      <c r="E1" s="545" t="s">
        <v>235</v>
      </c>
      <c r="F1" s="319"/>
      <c r="G1" s="546" t="e">
        <f>G2-G7</f>
        <v>#VALUE!</v>
      </c>
      <c r="H1" s="546"/>
      <c r="I1" s="546"/>
      <c r="J1" s="547">
        <f>J2-J7</f>
        <v>0</v>
      </c>
      <c r="K1" s="547">
        <f>K2-K7</f>
        <v>0</v>
      </c>
      <c r="L1" s="547">
        <f>L2-L7</f>
        <v>99.90692813851828</v>
      </c>
    </row>
    <row r="2" spans="1:12" ht="16.5" thickBot="1">
      <c r="A2" s="398"/>
      <c r="B2" s="544"/>
      <c r="C2" s="319"/>
      <c r="D2" s="319"/>
      <c r="E2" s="319"/>
      <c r="F2" s="319"/>
      <c r="G2" s="502" t="e">
        <f>SUM(G8:G10)</f>
        <v>#VALUE!</v>
      </c>
      <c r="H2" s="502"/>
      <c r="I2" s="502"/>
      <c r="J2" s="548">
        <f>SUM(J8:J10)</f>
        <v>65339</v>
      </c>
      <c r="K2" s="548">
        <f>SUM(K8:K10)</f>
        <v>64828.92</v>
      </c>
      <c r="L2" s="548">
        <f>SUM(L8:L10)</f>
        <v>199.12626115555253</v>
      </c>
    </row>
    <row r="3" spans="1:12" ht="16.5" thickBot="1">
      <c r="A3" s="331"/>
      <c r="B3" s="332"/>
      <c r="C3" s="333"/>
      <c r="D3" s="333"/>
      <c r="E3" s="334"/>
      <c r="F3" s="335"/>
      <c r="G3" s="336" t="s">
        <v>137</v>
      </c>
      <c r="H3" s="1598" t="s">
        <v>138</v>
      </c>
      <c r="I3" s="1599"/>
      <c r="J3" s="1600"/>
      <c r="K3" s="1601" t="s">
        <v>139</v>
      </c>
      <c r="L3" s="1602"/>
    </row>
    <row r="4" spans="1:12" ht="12.75" customHeight="1" thickBot="1">
      <c r="A4" s="337"/>
      <c r="B4" s="338" t="s">
        <v>140</v>
      </c>
      <c r="C4" s="339" t="s">
        <v>141</v>
      </c>
      <c r="D4" s="1603" t="s">
        <v>142</v>
      </c>
      <c r="E4" s="1603"/>
      <c r="F4" s="1603"/>
      <c r="G4" s="340"/>
      <c r="H4" s="341">
        <v>2012</v>
      </c>
      <c r="I4" s="341" t="s">
        <v>143</v>
      </c>
      <c r="J4" s="341" t="s">
        <v>144</v>
      </c>
      <c r="K4" s="342">
        <v>2012</v>
      </c>
      <c r="L4" s="342" t="s">
        <v>15</v>
      </c>
    </row>
    <row r="5" spans="1:12" ht="11.25" customHeight="1">
      <c r="A5" s="337"/>
      <c r="B5" s="338" t="s">
        <v>145</v>
      </c>
      <c r="C5" s="339" t="s">
        <v>146</v>
      </c>
      <c r="D5" s="1603"/>
      <c r="E5" s="1603"/>
      <c r="F5" s="1603"/>
      <c r="G5" s="343" t="s">
        <v>147</v>
      </c>
      <c r="H5" s="344" t="s">
        <v>148</v>
      </c>
      <c r="I5" s="344" t="s">
        <v>148</v>
      </c>
      <c r="J5" s="344" t="s">
        <v>148</v>
      </c>
      <c r="K5" s="345" t="s">
        <v>149</v>
      </c>
      <c r="L5" s="345"/>
    </row>
    <row r="6" spans="1:12" ht="12.75">
      <c r="A6" s="337"/>
      <c r="B6" s="338" t="s">
        <v>150</v>
      </c>
      <c r="C6" s="339" t="s">
        <v>151</v>
      </c>
      <c r="D6" s="1603"/>
      <c r="E6" s="1603"/>
      <c r="F6" s="1603"/>
      <c r="G6" s="346">
        <v>1</v>
      </c>
      <c r="H6" s="346">
        <v>1</v>
      </c>
      <c r="I6" s="346">
        <v>2</v>
      </c>
      <c r="J6" s="347">
        <v>3</v>
      </c>
      <c r="K6" s="348">
        <v>4</v>
      </c>
      <c r="L6" s="348">
        <v>5</v>
      </c>
    </row>
    <row r="7" spans="1:12" ht="15">
      <c r="A7" s="349">
        <v>1</v>
      </c>
      <c r="B7" s="549" t="s">
        <v>234</v>
      </c>
      <c r="C7" s="550"/>
      <c r="D7" s="551"/>
      <c r="E7" s="352" t="s">
        <v>235</v>
      </c>
      <c r="F7" s="552"/>
      <c r="G7" s="354" t="e">
        <f>G11+"$#REF!$#REF!+$#REF!$#REF!+$#REF!$#REF!+$#REF!$#REF!+$#REF!$#REF!+G27+#REF!#REF!"</f>
        <v>#VALUE!</v>
      </c>
      <c r="H7" s="553">
        <f>SUM(H8:H10)</f>
        <v>49116</v>
      </c>
      <c r="I7" s="553">
        <f>SUM(I8:I10)</f>
        <v>59269</v>
      </c>
      <c r="J7" s="355">
        <f>SUM(J8:J10)</f>
        <v>65339</v>
      </c>
      <c r="K7" s="355">
        <f>SUM(K8:K10)</f>
        <v>64828.92</v>
      </c>
      <c r="L7" s="356">
        <f>K7/J7*100</f>
        <v>99.21933301703424</v>
      </c>
    </row>
    <row r="8" spans="1:12" ht="12.75">
      <c r="A8" s="357">
        <f aca="true" t="shared" si="0" ref="A8:A17">A7+1</f>
        <v>2</v>
      </c>
      <c r="B8" s="516" t="s">
        <v>153</v>
      </c>
      <c r="C8" s="359" t="s">
        <v>154</v>
      </c>
      <c r="D8" s="360"/>
      <c r="E8" s="361"/>
      <c r="F8" s="362"/>
      <c r="G8" s="517" t="e">
        <f>G12+"$#REF!$#REF!+$#REF!$#REF!+$#REF!$#REF!+$#REF!$#REF!+#REF!#REF!+$#REF!$#REF!+G28"</f>
        <v>#VALUE!</v>
      </c>
      <c r="H8" s="520">
        <f>SUM(H12,H28)</f>
        <v>49116</v>
      </c>
      <c r="I8" s="520">
        <f>SUM(I12,I28)</f>
        <v>53269</v>
      </c>
      <c r="J8" s="519">
        <f>SUM(J12,J28)</f>
        <v>58379</v>
      </c>
      <c r="K8" s="519">
        <f>SUM(K12,K28)</f>
        <v>57868.92</v>
      </c>
      <c r="L8" s="365">
        <f>K8/J8*100</f>
        <v>99.12626115555251</v>
      </c>
    </row>
    <row r="9" spans="1:12" ht="12.75">
      <c r="A9" s="357">
        <f t="shared" si="0"/>
        <v>3</v>
      </c>
      <c r="B9" s="516" t="s">
        <v>155</v>
      </c>
      <c r="C9" s="359" t="s">
        <v>156</v>
      </c>
      <c r="D9" s="360"/>
      <c r="E9" s="361"/>
      <c r="F9" s="362"/>
      <c r="G9" s="517" t="str">
        <f>"'file:///C:/Documents and Settings/Ing. Kotora/My Documents/ROZPOČET/2012/Programový rozpočet 2012_2014/Programový rozpočet 2012_2014/3_tabuľková časť.xls'#$'Program 1'.#REF!#REF!+$#REF!$#REF!+$#REF!$#REF!"</f>
        <v>'file:///C:/Documents and Settings/Ing. Kotora/My Documents/ROZPOČET/2012/Programový rozpočet 2012_2014/Programový rozpočet 2012_2014/3_tabuľková časť.xls'#$'Program 1'.#REF!#REF!+$#REF!$#REF!+$#REF!$#REF!</v>
      </c>
      <c r="H9" s="520">
        <f>SUM(H24,H35)</f>
        <v>0</v>
      </c>
      <c r="I9" s="520">
        <f>SUM(I24,I35)</f>
        <v>6000</v>
      </c>
      <c r="J9" s="519">
        <f>J24</f>
        <v>6960</v>
      </c>
      <c r="K9" s="519">
        <f>K24</f>
        <v>6960</v>
      </c>
      <c r="L9" s="365">
        <f>K9/J9*100</f>
        <v>100</v>
      </c>
    </row>
    <row r="10" spans="1:12" ht="12.75">
      <c r="A10" s="357">
        <f t="shared" si="0"/>
        <v>4</v>
      </c>
      <c r="B10" s="521"/>
      <c r="C10" s="367" t="s">
        <v>157</v>
      </c>
      <c r="D10" s="368"/>
      <c r="E10" s="369"/>
      <c r="F10" s="370"/>
      <c r="G10" s="522" t="str">
        <f>"$#REF!$#REF!"</f>
        <v>$#REF!$#REF!</v>
      </c>
      <c r="H10" s="554">
        <v>0</v>
      </c>
      <c r="I10" s="554">
        <v>0</v>
      </c>
      <c r="J10" s="524">
        <v>0</v>
      </c>
      <c r="K10" s="524">
        <v>0</v>
      </c>
      <c r="L10" s="373">
        <v>0</v>
      </c>
    </row>
    <row r="11" spans="1:12" ht="12.75">
      <c r="A11" s="357">
        <f t="shared" si="0"/>
        <v>5</v>
      </c>
      <c r="B11" s="555">
        <v>1</v>
      </c>
      <c r="C11" s="482" t="s">
        <v>236</v>
      </c>
      <c r="D11" s="376"/>
      <c r="E11" s="376"/>
      <c r="F11" s="377"/>
      <c r="G11" s="378" t="e">
        <f>G13+G25+"$#REF!$#REF!"</f>
        <v>#VALUE!</v>
      </c>
      <c r="H11" s="556">
        <f>SUM(H12+H24)</f>
        <v>46366</v>
      </c>
      <c r="I11" s="556">
        <f>SUM(I12+I24)</f>
        <v>53119</v>
      </c>
      <c r="J11" s="380">
        <f>SUM(J12+J24)</f>
        <v>58739</v>
      </c>
      <c r="K11" s="380">
        <f>SUM(K12+K24)</f>
        <v>59333.729999999996</v>
      </c>
      <c r="L11" s="381">
        <f aca="true" t="shared" si="1" ref="L11:L34">K11/J11*100</f>
        <v>101.01249595668975</v>
      </c>
    </row>
    <row r="12" spans="1:12" s="437" customFormat="1" ht="12.75">
      <c r="A12" s="357">
        <f t="shared" si="0"/>
        <v>6</v>
      </c>
      <c r="B12" s="557"/>
      <c r="C12" s="473"/>
      <c r="D12" s="361" t="s">
        <v>154</v>
      </c>
      <c r="E12" s="393"/>
      <c r="F12" s="394"/>
      <c r="G12" s="395">
        <f>G13</f>
        <v>1736.4</v>
      </c>
      <c r="H12" s="558">
        <f>H13</f>
        <v>46366</v>
      </c>
      <c r="I12" s="558">
        <f>I13</f>
        <v>47119</v>
      </c>
      <c r="J12" s="396">
        <f>J13</f>
        <v>51779</v>
      </c>
      <c r="K12" s="396">
        <f>K13</f>
        <v>52373.729999999996</v>
      </c>
      <c r="L12" s="397">
        <f t="shared" si="1"/>
        <v>101.1485930589621</v>
      </c>
    </row>
    <row r="13" spans="1:12" ht="12.75">
      <c r="A13" s="357">
        <f t="shared" si="0"/>
        <v>7</v>
      </c>
      <c r="B13" s="559"/>
      <c r="C13" s="560" t="s">
        <v>237</v>
      </c>
      <c r="D13" s="439" t="s">
        <v>238</v>
      </c>
      <c r="E13" s="401"/>
      <c r="F13" s="402"/>
      <c r="G13" s="441">
        <f>SUM(G14:G21)</f>
        <v>1736.4</v>
      </c>
      <c r="H13" s="533">
        <f>SUM(H14,H15,H16,H17,H18,H19,H20,H21,H22)</f>
        <v>46366</v>
      </c>
      <c r="I13" s="533">
        <f>SUM(I14,I15,I16,I17,I18,I19,I20,I21,I22)</f>
        <v>47119</v>
      </c>
      <c r="J13" s="404">
        <f>SUM(J14,J15,J16,J17,J18,J19,J20,J21,J22)</f>
        <v>51779</v>
      </c>
      <c r="K13" s="404">
        <f>SUM(K14,K15,K16,K17,K18,K19,K20,K21,K22)</f>
        <v>52373.729999999996</v>
      </c>
      <c r="L13" s="405">
        <f t="shared" si="1"/>
        <v>101.1485930589621</v>
      </c>
    </row>
    <row r="14" spans="1:12" ht="12.75">
      <c r="A14" s="357">
        <f t="shared" si="0"/>
        <v>8</v>
      </c>
      <c r="B14" s="559"/>
      <c r="C14" s="462" t="s">
        <v>163</v>
      </c>
      <c r="D14" s="456" t="s">
        <v>190</v>
      </c>
      <c r="E14" s="561" t="s">
        <v>219</v>
      </c>
      <c r="F14" s="457"/>
      <c r="G14" s="463">
        <f aca="true" t="shared" si="2" ref="G14:G22">ROUND(K14/30.126,1)</f>
        <v>1042</v>
      </c>
      <c r="H14" s="562">
        <f>výdavky!M121</f>
        <v>30000</v>
      </c>
      <c r="I14" s="562">
        <f>výdavky!P121</f>
        <v>30000</v>
      </c>
      <c r="J14" s="412">
        <f>výdavky!T121</f>
        <v>31500</v>
      </c>
      <c r="K14" s="412">
        <f>výdavky!V121</f>
        <v>31390.45</v>
      </c>
      <c r="L14" s="413">
        <f t="shared" si="1"/>
        <v>99.65222222222222</v>
      </c>
    </row>
    <row r="15" spans="1:12" ht="12.75">
      <c r="A15" s="357">
        <f t="shared" si="0"/>
        <v>9</v>
      </c>
      <c r="B15" s="559"/>
      <c r="C15" s="462" t="s">
        <v>165</v>
      </c>
      <c r="D15" s="461" t="s">
        <v>192</v>
      </c>
      <c r="E15" s="563" t="s">
        <v>166</v>
      </c>
      <c r="F15" s="428"/>
      <c r="G15" s="429">
        <f t="shared" si="2"/>
        <v>388</v>
      </c>
      <c r="H15" s="564">
        <f>výdavky!M122</f>
        <v>10000</v>
      </c>
      <c r="I15" s="564">
        <f>výdavky!P122</f>
        <v>10000</v>
      </c>
      <c r="J15" s="418">
        <f>výdavky!T122</f>
        <v>11500</v>
      </c>
      <c r="K15" s="418">
        <f>výdavky!V122</f>
        <v>11688.47</v>
      </c>
      <c r="L15" s="419">
        <f t="shared" si="1"/>
        <v>101.63886956521739</v>
      </c>
    </row>
    <row r="16" spans="1:12" ht="12.75">
      <c r="A16" s="357">
        <f t="shared" si="0"/>
        <v>10</v>
      </c>
      <c r="B16" s="559"/>
      <c r="C16" s="462" t="s">
        <v>167</v>
      </c>
      <c r="D16" s="456" t="s">
        <v>203</v>
      </c>
      <c r="E16" s="561" t="s">
        <v>239</v>
      </c>
      <c r="F16" s="457"/>
      <c r="G16" s="463">
        <f t="shared" si="2"/>
        <v>1.7</v>
      </c>
      <c r="H16" s="562">
        <v>0</v>
      </c>
      <c r="I16" s="562">
        <v>0</v>
      </c>
      <c r="J16" s="412">
        <f>výdavky!T123</f>
        <v>60</v>
      </c>
      <c r="K16" s="412">
        <f>výdavky!V123</f>
        <v>51.45</v>
      </c>
      <c r="L16" s="413">
        <f t="shared" si="1"/>
        <v>85.75</v>
      </c>
    </row>
    <row r="17" spans="1:12" ht="12.75">
      <c r="A17" s="357">
        <f t="shared" si="0"/>
        <v>11</v>
      </c>
      <c r="B17" s="559"/>
      <c r="C17" s="462" t="s">
        <v>169</v>
      </c>
      <c r="D17" s="461" t="s">
        <v>205</v>
      </c>
      <c r="E17" s="563" t="s">
        <v>170</v>
      </c>
      <c r="F17" s="428"/>
      <c r="G17" s="429">
        <f t="shared" si="2"/>
        <v>81</v>
      </c>
      <c r="H17" s="564">
        <f>výdavky!M124</f>
        <v>1400</v>
      </c>
      <c r="I17" s="564">
        <f>výdavky!P124</f>
        <v>1400</v>
      </c>
      <c r="J17" s="418">
        <f>výdavky!T124</f>
        <v>1650</v>
      </c>
      <c r="K17" s="418">
        <f>výdavky!V124</f>
        <v>2438.81</v>
      </c>
      <c r="L17" s="419">
        <f t="shared" si="1"/>
        <v>147.80666666666667</v>
      </c>
    </row>
    <row r="18" spans="1:12" ht="12.75">
      <c r="A18" s="357">
        <v>12</v>
      </c>
      <c r="B18" s="559"/>
      <c r="C18" s="462" t="s">
        <v>171</v>
      </c>
      <c r="D18" s="456" t="s">
        <v>207</v>
      </c>
      <c r="E18" s="561" t="s">
        <v>240</v>
      </c>
      <c r="F18" s="457"/>
      <c r="G18" s="463">
        <f t="shared" si="2"/>
        <v>47</v>
      </c>
      <c r="H18" s="562">
        <f>výdavky!M125</f>
        <v>800</v>
      </c>
      <c r="I18" s="562">
        <f>výdavky!P125</f>
        <v>1553</v>
      </c>
      <c r="J18" s="412">
        <f>výdavky!T125</f>
        <v>1403</v>
      </c>
      <c r="K18" s="412">
        <f>výdavky!V125</f>
        <v>1414.97</v>
      </c>
      <c r="L18" s="413">
        <f t="shared" si="1"/>
        <v>100.85317177476836</v>
      </c>
    </row>
    <row r="19" spans="1:12" ht="12.75">
      <c r="A19" s="357">
        <f>A18+1</f>
        <v>13</v>
      </c>
      <c r="B19" s="559"/>
      <c r="C19" s="462" t="s">
        <v>173</v>
      </c>
      <c r="D19" s="461" t="s">
        <v>211</v>
      </c>
      <c r="E19" s="563" t="s">
        <v>241</v>
      </c>
      <c r="F19" s="428"/>
      <c r="G19" s="429">
        <f t="shared" si="2"/>
        <v>163.6</v>
      </c>
      <c r="H19" s="564">
        <f>výdavky!M130</f>
        <v>4100</v>
      </c>
      <c r="I19" s="564">
        <f>výdavky!M130</f>
        <v>4100</v>
      </c>
      <c r="J19" s="418">
        <f>výdavky!T130</f>
        <v>5200</v>
      </c>
      <c r="K19" s="418">
        <f>výdavky!V130</f>
        <v>4928.160000000001</v>
      </c>
      <c r="L19" s="419">
        <f t="shared" si="1"/>
        <v>94.7723076923077</v>
      </c>
    </row>
    <row r="20" spans="1:12" ht="12.75">
      <c r="A20" s="357">
        <f>A19+1</f>
        <v>14</v>
      </c>
      <c r="B20" s="559"/>
      <c r="C20" s="462" t="s">
        <v>175</v>
      </c>
      <c r="D20" s="456" t="s">
        <v>214</v>
      </c>
      <c r="E20" s="561" t="s">
        <v>242</v>
      </c>
      <c r="F20" s="457"/>
      <c r="G20" s="463">
        <f t="shared" si="2"/>
        <v>1.2</v>
      </c>
      <c r="H20" s="562">
        <v>0</v>
      </c>
      <c r="I20" s="562">
        <f>výdavky!P134</f>
        <v>0</v>
      </c>
      <c r="J20" s="412">
        <f>výdavky!T134</f>
        <v>36</v>
      </c>
      <c r="K20" s="412">
        <f>výdavky!V134</f>
        <v>36</v>
      </c>
      <c r="L20" s="413">
        <f t="shared" si="1"/>
        <v>100</v>
      </c>
    </row>
    <row r="21" spans="1:12" ht="12.75">
      <c r="A21" s="357">
        <f>A20+1</f>
        <v>15</v>
      </c>
      <c r="B21" s="559"/>
      <c r="C21" s="462" t="s">
        <v>179</v>
      </c>
      <c r="D21" s="461" t="s">
        <v>243</v>
      </c>
      <c r="E21" s="563" t="s">
        <v>244</v>
      </c>
      <c r="F21" s="428"/>
      <c r="G21" s="429">
        <f t="shared" si="2"/>
        <v>11.9</v>
      </c>
      <c r="H21" s="564">
        <v>0</v>
      </c>
      <c r="I21" s="564">
        <v>0</v>
      </c>
      <c r="J21" s="418">
        <f>výdavky!T135</f>
        <v>364</v>
      </c>
      <c r="K21" s="418">
        <f>výdavky!V135</f>
        <v>359.42</v>
      </c>
      <c r="L21" s="419">
        <f t="shared" si="1"/>
        <v>98.74175824175825</v>
      </c>
    </row>
    <row r="22" spans="1:12" ht="12.75">
      <c r="A22" s="357">
        <v>16</v>
      </c>
      <c r="B22" s="559"/>
      <c r="C22" s="462" t="s">
        <v>189</v>
      </c>
      <c r="D22" s="461" t="s">
        <v>245</v>
      </c>
      <c r="E22" s="563" t="s">
        <v>246</v>
      </c>
      <c r="F22" s="428"/>
      <c r="G22" s="429">
        <f t="shared" si="2"/>
        <v>2.2</v>
      </c>
      <c r="H22" s="564">
        <f>výdavky!M136</f>
        <v>66</v>
      </c>
      <c r="I22" s="564">
        <f>výdavky!P136</f>
        <v>66</v>
      </c>
      <c r="J22" s="418">
        <f>výdavky!T136</f>
        <v>66</v>
      </c>
      <c r="K22" s="418">
        <f>výdavky!V136</f>
        <v>66</v>
      </c>
      <c r="L22" s="419">
        <f t="shared" si="1"/>
        <v>100</v>
      </c>
    </row>
    <row r="23" spans="1:12" ht="12.75">
      <c r="A23" s="357"/>
      <c r="B23" s="565">
        <v>2</v>
      </c>
      <c r="C23" s="1605" t="s">
        <v>247</v>
      </c>
      <c r="D23" s="1605"/>
      <c r="E23" s="1605"/>
      <c r="F23" s="566"/>
      <c r="G23" s="567"/>
      <c r="H23" s="568">
        <f>SUM(H24)</f>
        <v>0</v>
      </c>
      <c r="I23" s="568">
        <f>SUM(I24)</f>
        <v>6000</v>
      </c>
      <c r="J23" s="569">
        <f>SUM(J24)</f>
        <v>6960</v>
      </c>
      <c r="K23" s="569">
        <f>SUM(K24)</f>
        <v>6960</v>
      </c>
      <c r="L23" s="381">
        <f t="shared" si="1"/>
        <v>100</v>
      </c>
    </row>
    <row r="24" spans="1:12" ht="12.75">
      <c r="A24" s="357">
        <v>17</v>
      </c>
      <c r="B24" s="570"/>
      <c r="C24" s="571"/>
      <c r="D24" s="361" t="s">
        <v>156</v>
      </c>
      <c r="E24" s="393"/>
      <c r="F24" s="394"/>
      <c r="G24" s="395" t="str">
        <f>"$'Program 3'.$#REF!$#REF!"</f>
        <v>$'Program 3'.$#REF!$#REF!</v>
      </c>
      <c r="H24" s="558">
        <f aca="true" t="shared" si="3" ref="H24:K25">H25</f>
        <v>0</v>
      </c>
      <c r="I24" s="558">
        <f t="shared" si="3"/>
        <v>6000</v>
      </c>
      <c r="J24" s="396">
        <f t="shared" si="3"/>
        <v>6960</v>
      </c>
      <c r="K24" s="396">
        <f t="shared" si="3"/>
        <v>6960</v>
      </c>
      <c r="L24" s="397">
        <f t="shared" si="1"/>
        <v>100</v>
      </c>
    </row>
    <row r="25" spans="1:12" ht="12.75">
      <c r="A25" s="357">
        <f>A24+1</f>
        <v>18</v>
      </c>
      <c r="B25" s="559"/>
      <c r="C25" s="560" t="s">
        <v>237</v>
      </c>
      <c r="D25" s="439" t="s">
        <v>238</v>
      </c>
      <c r="E25" s="401"/>
      <c r="F25" s="402"/>
      <c r="G25" s="454">
        <f>SUM(G26:G26)</f>
        <v>231</v>
      </c>
      <c r="H25" s="572">
        <f t="shared" si="3"/>
        <v>0</v>
      </c>
      <c r="I25" s="572">
        <f t="shared" si="3"/>
        <v>6000</v>
      </c>
      <c r="J25" s="455">
        <f t="shared" si="3"/>
        <v>6960</v>
      </c>
      <c r="K25" s="455">
        <f t="shared" si="3"/>
        <v>6960</v>
      </c>
      <c r="L25" s="405">
        <f t="shared" si="1"/>
        <v>100</v>
      </c>
    </row>
    <row r="26" spans="1:12" ht="12.75">
      <c r="A26" s="357">
        <f>A25+1</f>
        <v>19</v>
      </c>
      <c r="B26" s="559"/>
      <c r="C26" s="462" t="s">
        <v>248</v>
      </c>
      <c r="D26" s="461" t="s">
        <v>249</v>
      </c>
      <c r="E26" s="563" t="s">
        <v>250</v>
      </c>
      <c r="F26" s="428"/>
      <c r="G26" s="429">
        <f>ROUND(K26/30.126,1)</f>
        <v>231</v>
      </c>
      <c r="H26" s="564">
        <v>0</v>
      </c>
      <c r="I26" s="564">
        <f>výdavky!P503</f>
        <v>6000</v>
      </c>
      <c r="J26" s="418">
        <f>výdavky!T503</f>
        <v>6960</v>
      </c>
      <c r="K26" s="418">
        <f>výdavky!V503</f>
        <v>6960</v>
      </c>
      <c r="L26" s="419">
        <f t="shared" si="1"/>
        <v>100</v>
      </c>
    </row>
    <row r="27" spans="1:12" ht="12.75">
      <c r="A27" s="357">
        <v>20</v>
      </c>
      <c r="B27" s="555">
        <v>3</v>
      </c>
      <c r="C27" s="482" t="s">
        <v>251</v>
      </c>
      <c r="D27" s="376"/>
      <c r="E27" s="376"/>
      <c r="F27" s="377"/>
      <c r="G27" s="378">
        <f>SUM(G29)</f>
        <v>182.4</v>
      </c>
      <c r="H27" s="556">
        <f aca="true" t="shared" si="4" ref="H27:K28">H28</f>
        <v>2750</v>
      </c>
      <c r="I27" s="556">
        <f t="shared" si="4"/>
        <v>6150</v>
      </c>
      <c r="J27" s="380">
        <f t="shared" si="4"/>
        <v>6600</v>
      </c>
      <c r="K27" s="380">
        <f t="shared" si="4"/>
        <v>5495.1900000000005</v>
      </c>
      <c r="L27" s="381">
        <f t="shared" si="1"/>
        <v>83.26045454545455</v>
      </c>
    </row>
    <row r="28" spans="1:12" s="437" customFormat="1" ht="12.75">
      <c r="A28" s="357">
        <f aca="true" t="shared" si="5" ref="A28:A33">A27+1</f>
        <v>21</v>
      </c>
      <c r="B28" s="557"/>
      <c r="C28" s="473"/>
      <c r="D28" s="361" t="s">
        <v>154</v>
      </c>
      <c r="E28" s="393"/>
      <c r="F28" s="394"/>
      <c r="G28" s="395">
        <f>G29</f>
        <v>182.4</v>
      </c>
      <c r="H28" s="558">
        <f t="shared" si="4"/>
        <v>2750</v>
      </c>
      <c r="I28" s="558">
        <f t="shared" si="4"/>
        <v>6150</v>
      </c>
      <c r="J28" s="396">
        <f t="shared" si="4"/>
        <v>6600</v>
      </c>
      <c r="K28" s="396">
        <f t="shared" si="4"/>
        <v>5495.1900000000005</v>
      </c>
      <c r="L28" s="397">
        <f t="shared" si="1"/>
        <v>83.26045454545455</v>
      </c>
    </row>
    <row r="29" spans="1:12" ht="12.75">
      <c r="A29" s="357">
        <f t="shared" si="5"/>
        <v>22</v>
      </c>
      <c r="B29" s="559"/>
      <c r="C29" s="560" t="s">
        <v>252</v>
      </c>
      <c r="D29" s="439" t="s">
        <v>253</v>
      </c>
      <c r="E29" s="531"/>
      <c r="F29" s="532"/>
      <c r="G29" s="441">
        <f>SUM(G30:G38)</f>
        <v>182.4</v>
      </c>
      <c r="H29" s="533">
        <f>SUM(H30,H31,H32,H33,H34)</f>
        <v>2750</v>
      </c>
      <c r="I29" s="533">
        <f>SUM(I30,I31,I32,I33,I34)</f>
        <v>6150</v>
      </c>
      <c r="J29" s="404">
        <f>SUM(J30:J38)</f>
        <v>6600</v>
      </c>
      <c r="K29" s="404">
        <f>SUM(K30:K38)</f>
        <v>5495.1900000000005</v>
      </c>
      <c r="L29" s="405">
        <f t="shared" si="1"/>
        <v>83.26045454545455</v>
      </c>
    </row>
    <row r="30" spans="1:12" ht="12.75">
      <c r="A30" s="357">
        <f t="shared" si="5"/>
        <v>23</v>
      </c>
      <c r="B30" s="573"/>
      <c r="C30" s="462" t="s">
        <v>169</v>
      </c>
      <c r="D30" s="574">
        <v>1</v>
      </c>
      <c r="E30" s="420" t="s">
        <v>254</v>
      </c>
      <c r="F30" s="428"/>
      <c r="G30" s="429">
        <f>ROUND(K30/30.126,1)</f>
        <v>48.1</v>
      </c>
      <c r="H30" s="564">
        <f>výdavky!M140</f>
        <v>2300</v>
      </c>
      <c r="I30" s="564">
        <f>výdavky!P140</f>
        <v>2300</v>
      </c>
      <c r="J30" s="418">
        <f>výdavky!T140</f>
        <v>2300</v>
      </c>
      <c r="K30" s="418">
        <f>výdavky!V140</f>
        <v>1449.99</v>
      </c>
      <c r="L30" s="419">
        <f t="shared" si="1"/>
        <v>63.04304347826088</v>
      </c>
    </row>
    <row r="31" spans="1:12" ht="12.75">
      <c r="A31" s="357">
        <f t="shared" si="5"/>
        <v>24</v>
      </c>
      <c r="B31" s="573"/>
      <c r="C31" s="462" t="s">
        <v>171</v>
      </c>
      <c r="D31" s="575">
        <v>2</v>
      </c>
      <c r="E31" s="409" t="s">
        <v>172</v>
      </c>
      <c r="F31" s="457"/>
      <c r="G31" s="463">
        <f>ROUND(K31/30.126,1)</f>
        <v>72.1</v>
      </c>
      <c r="H31" s="562">
        <f>výdavky!M141</f>
        <v>100</v>
      </c>
      <c r="I31" s="562">
        <f>výdavky!P141</f>
        <v>2600</v>
      </c>
      <c r="J31" s="412">
        <f>výdavky!T141</f>
        <v>2600</v>
      </c>
      <c r="K31" s="412">
        <f>výdavky!V141</f>
        <v>2170.81</v>
      </c>
      <c r="L31" s="413">
        <f t="shared" si="1"/>
        <v>83.49269230769231</v>
      </c>
    </row>
    <row r="32" spans="1:12" ht="12.75">
      <c r="A32" s="357">
        <f t="shared" si="5"/>
        <v>25</v>
      </c>
      <c r="B32" s="573"/>
      <c r="C32" s="462" t="s">
        <v>173</v>
      </c>
      <c r="D32" s="574">
        <v>3</v>
      </c>
      <c r="E32" s="420" t="s">
        <v>241</v>
      </c>
      <c r="F32" s="428"/>
      <c r="G32" s="429">
        <f>ROUND(K32/30.126,1)</f>
        <v>25.3</v>
      </c>
      <c r="H32" s="564">
        <f>výdavky!M149</f>
        <v>200</v>
      </c>
      <c r="I32" s="564">
        <f>výdavky!P149</f>
        <v>200</v>
      </c>
      <c r="J32" s="418">
        <f>výdavky!T149</f>
        <v>650</v>
      </c>
      <c r="K32" s="418">
        <f>výdavky!V149</f>
        <v>761.89</v>
      </c>
      <c r="L32" s="419">
        <f t="shared" si="1"/>
        <v>117.21384615384616</v>
      </c>
    </row>
    <row r="33" spans="1:12" ht="12.75">
      <c r="A33" s="357">
        <f t="shared" si="5"/>
        <v>26</v>
      </c>
      <c r="B33" s="573"/>
      <c r="C33" s="462" t="s">
        <v>175</v>
      </c>
      <c r="D33" s="576">
        <v>4</v>
      </c>
      <c r="E33" s="415" t="s">
        <v>255</v>
      </c>
      <c r="F33" s="449"/>
      <c r="G33" s="429">
        <f>ROUND(K33/30.126,1)</f>
        <v>0.5</v>
      </c>
      <c r="H33" s="564">
        <f>výdavky!M153</f>
        <v>50</v>
      </c>
      <c r="I33" s="564">
        <f>výdavky!P153</f>
        <v>50</v>
      </c>
      <c r="J33" s="418">
        <f>výdavky!T153</f>
        <v>50</v>
      </c>
      <c r="K33" s="418">
        <f>výdavky!V153</f>
        <v>14.5</v>
      </c>
      <c r="L33" s="419">
        <f t="shared" si="1"/>
        <v>28.999999999999996</v>
      </c>
    </row>
    <row r="34" spans="1:12" ht="12.75">
      <c r="A34" s="357">
        <v>27</v>
      </c>
      <c r="B34" s="573"/>
      <c r="C34" s="577" t="s">
        <v>179</v>
      </c>
      <c r="D34" s="578">
        <v>5</v>
      </c>
      <c r="E34" s="579" t="s">
        <v>256</v>
      </c>
      <c r="F34" s="580"/>
      <c r="G34" s="581">
        <f>ROUND(K34/30.126,1)</f>
        <v>36.4</v>
      </c>
      <c r="H34" s="582">
        <f>výdavky!M155</f>
        <v>100</v>
      </c>
      <c r="I34" s="582">
        <f>výdavky!P155</f>
        <v>1000</v>
      </c>
      <c r="J34" s="583">
        <f>výdavky!T155</f>
        <v>1000</v>
      </c>
      <c r="K34" s="583">
        <f>výdavky!V155</f>
        <v>1098</v>
      </c>
      <c r="L34" s="584">
        <f t="shared" si="1"/>
        <v>109.80000000000001</v>
      </c>
    </row>
    <row r="35" spans="1:12" ht="12.75">
      <c r="A35" s="357">
        <v>28</v>
      </c>
      <c r="B35" s="573"/>
      <c r="C35" s="577"/>
      <c r="D35" s="361" t="s">
        <v>156</v>
      </c>
      <c r="E35" s="393"/>
      <c r="F35" s="394"/>
      <c r="G35" s="585"/>
      <c r="H35" s="586">
        <f>SUM(H36)</f>
        <v>0</v>
      </c>
      <c r="I35" s="586">
        <f>SUM(I36)</f>
        <v>0</v>
      </c>
      <c r="J35" s="587">
        <v>0</v>
      </c>
      <c r="K35" s="587">
        <v>0</v>
      </c>
      <c r="L35" s="588">
        <v>0</v>
      </c>
    </row>
    <row r="36" spans="1:12" ht="12.75">
      <c r="A36" s="357">
        <v>29</v>
      </c>
      <c r="B36" s="573"/>
      <c r="C36" s="560" t="s">
        <v>252</v>
      </c>
      <c r="D36" s="589" t="s">
        <v>253</v>
      </c>
      <c r="E36" s="590"/>
      <c r="F36" s="591"/>
      <c r="G36" s="585"/>
      <c r="H36" s="592">
        <f>SUM(H37,H38)</f>
        <v>0</v>
      </c>
      <c r="I36" s="592">
        <f>SUM(I37,I38)</f>
        <v>0</v>
      </c>
      <c r="J36" s="593">
        <v>0</v>
      </c>
      <c r="K36" s="593">
        <v>0</v>
      </c>
      <c r="L36" s="594">
        <v>0</v>
      </c>
    </row>
    <row r="37" spans="1:12" ht="12.75">
      <c r="A37" s="357">
        <v>30</v>
      </c>
      <c r="B37" s="573"/>
      <c r="C37" s="577" t="s">
        <v>248</v>
      </c>
      <c r="D37" s="595">
        <v>6</v>
      </c>
      <c r="E37" s="596" t="s">
        <v>257</v>
      </c>
      <c r="F37" s="596"/>
      <c r="G37" s="597"/>
      <c r="H37" s="583">
        <v>0</v>
      </c>
      <c r="I37" s="582">
        <v>0</v>
      </c>
      <c r="J37" s="583">
        <v>0</v>
      </c>
      <c r="K37" s="583">
        <v>0</v>
      </c>
      <c r="L37" s="584">
        <v>0</v>
      </c>
    </row>
    <row r="38" spans="1:12" ht="12.75">
      <c r="A38" s="493">
        <v>31</v>
      </c>
      <c r="B38" s="598"/>
      <c r="C38" s="599"/>
      <c r="D38" s="600"/>
      <c r="E38" s="601"/>
      <c r="F38" s="602"/>
      <c r="G38" s="603"/>
      <c r="H38" s="604"/>
      <c r="I38" s="604"/>
      <c r="J38" s="605"/>
      <c r="K38" s="605"/>
      <c r="L38" s="606"/>
    </row>
    <row r="39" ht="12.75">
      <c r="F39" s="319"/>
    </row>
    <row r="40" ht="12.75">
      <c r="F40" s="319"/>
    </row>
  </sheetData>
  <mergeCells count="4">
    <mergeCell ref="H3:J3"/>
    <mergeCell ref="K3:L3"/>
    <mergeCell ref="D4:F6"/>
    <mergeCell ref="C23:E23"/>
  </mergeCells>
  <printOptions/>
  <pageMargins left="0.7875" right="0.19652777777777777" top="0.5902777777777778" bottom="0.39375" header="0.5118055555555556" footer="0.5118055555555556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K23" sqref="K23"/>
    </sheetView>
  </sheetViews>
  <sheetFormatPr defaultColWidth="9.00390625" defaultRowHeight="12.75"/>
  <cols>
    <col min="1" max="1" width="2.875" style="316" customWidth="1"/>
    <col min="2" max="2" width="4.125" style="317" customWidth="1"/>
    <col min="3" max="3" width="8.00390625" style="318" customWidth="1"/>
    <col min="4" max="4" width="3.375" style="318" customWidth="1"/>
    <col min="5" max="5" width="31.625" style="318" customWidth="1"/>
    <col min="6" max="6" width="8.875" style="318" customWidth="1"/>
    <col min="7" max="7" width="0" style="318" hidden="1" customWidth="1"/>
    <col min="8" max="9" width="9.125" style="318" customWidth="1"/>
    <col min="10" max="12" width="8.375" style="318" customWidth="1"/>
    <col min="13" max="16384" width="9.125" style="318" customWidth="1"/>
  </cols>
  <sheetData>
    <row r="1" spans="1:12" ht="15.75">
      <c r="A1" s="322" t="s">
        <v>258</v>
      </c>
      <c r="D1" s="322" t="s">
        <v>259</v>
      </c>
      <c r="E1" s="320"/>
      <c r="F1" s="320"/>
      <c r="G1" s="502" t="e">
        <f>G2-G7</f>
        <v>#VALUE!</v>
      </c>
      <c r="H1" s="502"/>
      <c r="I1" s="502"/>
      <c r="J1" s="503">
        <f>J2-J7</f>
        <v>0</v>
      </c>
      <c r="K1" s="503">
        <f>K2-K7</f>
        <v>0</v>
      </c>
      <c r="L1" s="503">
        <f>L2-L7</f>
        <v>0</v>
      </c>
    </row>
    <row r="2" spans="2:12" ht="16.5" thickBot="1">
      <c r="B2" s="322"/>
      <c r="G2" s="504" t="e">
        <f>SUM(G8:G10)</f>
        <v>#VALUE!</v>
      </c>
      <c r="H2" s="504"/>
      <c r="I2" s="504"/>
      <c r="J2" s="330">
        <f>SUM(J8:J10)</f>
        <v>105169</v>
      </c>
      <c r="K2" s="330">
        <f>SUM(K8:K10)</f>
        <v>102457.75</v>
      </c>
      <c r="L2" s="330">
        <f>SUM(L8:L10)</f>
        <v>97.42200648480065</v>
      </c>
    </row>
    <row r="3" spans="1:12" ht="16.5" thickBot="1">
      <c r="A3" s="331"/>
      <c r="B3" s="332"/>
      <c r="C3" s="333"/>
      <c r="D3" s="333"/>
      <c r="E3" s="334"/>
      <c r="F3" s="335"/>
      <c r="G3" s="336" t="s">
        <v>137</v>
      </c>
      <c r="H3" s="1598" t="s">
        <v>138</v>
      </c>
      <c r="I3" s="1599"/>
      <c r="J3" s="1600"/>
      <c r="K3" s="1601" t="s">
        <v>139</v>
      </c>
      <c r="L3" s="1602"/>
    </row>
    <row r="4" spans="1:12" ht="15.75" customHeight="1" thickBot="1">
      <c r="A4" s="337"/>
      <c r="B4" s="338" t="s">
        <v>140</v>
      </c>
      <c r="C4" s="339" t="s">
        <v>141</v>
      </c>
      <c r="D4" s="1604" t="s">
        <v>142</v>
      </c>
      <c r="E4" s="1604"/>
      <c r="F4" s="1604"/>
      <c r="G4" s="340"/>
      <c r="H4" s="341">
        <v>2012</v>
      </c>
      <c r="I4" s="341" t="s">
        <v>143</v>
      </c>
      <c r="J4" s="341" t="s">
        <v>144</v>
      </c>
      <c r="K4" s="342">
        <v>2012</v>
      </c>
      <c r="L4" s="342" t="s">
        <v>15</v>
      </c>
    </row>
    <row r="5" spans="1:12" ht="12" customHeight="1">
      <c r="A5" s="337"/>
      <c r="B5" s="338" t="s">
        <v>145</v>
      </c>
      <c r="C5" s="339" t="s">
        <v>146</v>
      </c>
      <c r="D5" s="1604"/>
      <c r="E5" s="1604"/>
      <c r="F5" s="1604"/>
      <c r="G5" s="343" t="s">
        <v>147</v>
      </c>
      <c r="H5" s="344" t="s">
        <v>148</v>
      </c>
      <c r="I5" s="344" t="s">
        <v>148</v>
      </c>
      <c r="J5" s="344" t="s">
        <v>148</v>
      </c>
      <c r="K5" s="345" t="s">
        <v>149</v>
      </c>
      <c r="L5" s="345"/>
    </row>
    <row r="6" spans="1:12" ht="12.75">
      <c r="A6" s="505"/>
      <c r="B6" s="506" t="s">
        <v>150</v>
      </c>
      <c r="C6" s="507" t="s">
        <v>151</v>
      </c>
      <c r="D6" s="1604"/>
      <c r="E6" s="1604"/>
      <c r="F6" s="1604"/>
      <c r="G6" s="508">
        <v>1</v>
      </c>
      <c r="H6" s="346">
        <v>1</v>
      </c>
      <c r="I6" s="346">
        <v>2</v>
      </c>
      <c r="J6" s="347">
        <v>3</v>
      </c>
      <c r="K6" s="348">
        <v>4</v>
      </c>
      <c r="L6" s="348">
        <v>5</v>
      </c>
    </row>
    <row r="7" spans="1:12" ht="15">
      <c r="A7" s="349">
        <v>1</v>
      </c>
      <c r="B7" s="350" t="s">
        <v>260</v>
      </c>
      <c r="C7" s="351"/>
      <c r="D7" s="551"/>
      <c r="E7" s="352" t="s">
        <v>259</v>
      </c>
      <c r="F7" s="552"/>
      <c r="G7" s="607" t="e">
        <f>G11+G19</f>
        <v>#VALUE!</v>
      </c>
      <c r="H7" s="355">
        <f>SUM(H8:H10)</f>
        <v>79920</v>
      </c>
      <c r="I7" s="355">
        <f>SUM(I8:I10)</f>
        <v>82470</v>
      </c>
      <c r="J7" s="355">
        <f>SUM(J8:J10)</f>
        <v>105169</v>
      </c>
      <c r="K7" s="355">
        <f>SUM(K8:K10)</f>
        <v>102457.75</v>
      </c>
      <c r="L7" s="356">
        <f>K7/J7*100</f>
        <v>97.42200648480065</v>
      </c>
    </row>
    <row r="8" spans="1:12" ht="12.75">
      <c r="A8" s="357">
        <f aca="true" t="shared" si="0" ref="A8:A13">A7+1</f>
        <v>2</v>
      </c>
      <c r="B8" s="358" t="s">
        <v>153</v>
      </c>
      <c r="C8" s="359" t="s">
        <v>154</v>
      </c>
      <c r="D8" s="360"/>
      <c r="E8" s="361"/>
      <c r="F8" s="362"/>
      <c r="G8" s="517" t="e">
        <f>G12+"$#REF!$#REF!"</f>
        <v>#VALUE!</v>
      </c>
      <c r="H8" s="519">
        <f>SUM(H12,H24,H34,H29)</f>
        <v>79920</v>
      </c>
      <c r="I8" s="519">
        <f>SUM(I12,I24,I34,I29)</f>
        <v>82470</v>
      </c>
      <c r="J8" s="519">
        <f>SUM(J12,J24,J29,J34)</f>
        <v>105169</v>
      </c>
      <c r="K8" s="519">
        <f>SUM(K12,K24,K34,K29)</f>
        <v>102457.75</v>
      </c>
      <c r="L8" s="365">
        <f>K8/J8*100</f>
        <v>97.42200648480065</v>
      </c>
    </row>
    <row r="9" spans="1:12" ht="12.75">
      <c r="A9" s="357">
        <f t="shared" si="0"/>
        <v>3</v>
      </c>
      <c r="B9" s="358" t="s">
        <v>155</v>
      </c>
      <c r="C9" s="359" t="s">
        <v>156</v>
      </c>
      <c r="D9" s="360"/>
      <c r="E9" s="361"/>
      <c r="F9" s="362"/>
      <c r="G9" s="517">
        <f>G20</f>
        <v>0</v>
      </c>
      <c r="H9" s="519">
        <f>SUM(H20,H44)</f>
        <v>0</v>
      </c>
      <c r="I9" s="519">
        <f>SUM(I20,I44)</f>
        <v>0</v>
      </c>
      <c r="J9" s="519">
        <f>SUM(J20,J44)</f>
        <v>0</v>
      </c>
      <c r="K9" s="519">
        <f>SUM(K20,K44)</f>
        <v>0</v>
      </c>
      <c r="L9" s="365">
        <v>0</v>
      </c>
    </row>
    <row r="10" spans="1:12" ht="12.75">
      <c r="A10" s="357">
        <f t="shared" si="0"/>
        <v>4</v>
      </c>
      <c r="B10" s="366"/>
      <c r="C10" s="367" t="s">
        <v>157</v>
      </c>
      <c r="D10" s="368"/>
      <c r="E10" s="369"/>
      <c r="F10" s="370"/>
      <c r="G10" s="522">
        <v>0</v>
      </c>
      <c r="H10" s="524">
        <v>0</v>
      </c>
      <c r="I10" s="524">
        <v>0</v>
      </c>
      <c r="J10" s="608">
        <v>0</v>
      </c>
      <c r="K10" s="524">
        <v>0</v>
      </c>
      <c r="L10" s="373">
        <v>0</v>
      </c>
    </row>
    <row r="11" spans="1:12" ht="12.75">
      <c r="A11" s="357">
        <f t="shared" si="0"/>
        <v>5</v>
      </c>
      <c r="B11" s="481">
        <v>1</v>
      </c>
      <c r="C11" s="482" t="s">
        <v>261</v>
      </c>
      <c r="D11" s="376"/>
      <c r="E11" s="376"/>
      <c r="F11" s="377"/>
      <c r="G11" s="378">
        <f>G13</f>
        <v>136.8</v>
      </c>
      <c r="H11" s="380">
        <f aca="true" t="shared" si="1" ref="H11:K12">H12</f>
        <v>10450</v>
      </c>
      <c r="I11" s="380">
        <f t="shared" si="1"/>
        <v>12000</v>
      </c>
      <c r="J11" s="380">
        <f t="shared" si="1"/>
        <v>14280</v>
      </c>
      <c r="K11" s="380">
        <f t="shared" si="1"/>
        <v>13700.45</v>
      </c>
      <c r="L11" s="381">
        <f aca="true" t="shared" si="2" ref="L11:L16">K11/J11*100</f>
        <v>95.94152661064427</v>
      </c>
    </row>
    <row r="12" spans="1:12" s="437" customFormat="1" ht="12.75">
      <c r="A12" s="357">
        <f t="shared" si="0"/>
        <v>6</v>
      </c>
      <c r="B12" s="483"/>
      <c r="C12" s="473"/>
      <c r="D12" s="362" t="s">
        <v>154</v>
      </c>
      <c r="E12" s="393"/>
      <c r="F12" s="394"/>
      <c r="G12" s="395">
        <f>G13</f>
        <v>136.8</v>
      </c>
      <c r="H12" s="396">
        <f t="shared" si="1"/>
        <v>10450</v>
      </c>
      <c r="I12" s="396">
        <f t="shared" si="1"/>
        <v>12000</v>
      </c>
      <c r="J12" s="609">
        <f t="shared" si="1"/>
        <v>14280</v>
      </c>
      <c r="K12" s="396">
        <f t="shared" si="1"/>
        <v>13700.45</v>
      </c>
      <c r="L12" s="397">
        <f t="shared" si="2"/>
        <v>95.94152661064427</v>
      </c>
    </row>
    <row r="13" spans="1:12" ht="12.75">
      <c r="A13" s="357">
        <f t="shared" si="0"/>
        <v>7</v>
      </c>
      <c r="B13" s="398"/>
      <c r="C13" s="484" t="s">
        <v>262</v>
      </c>
      <c r="D13" s="439" t="s">
        <v>263</v>
      </c>
      <c r="E13" s="401"/>
      <c r="F13" s="402"/>
      <c r="G13" s="441">
        <f>SUM(G16:G16)</f>
        <v>136.8</v>
      </c>
      <c r="H13" s="404">
        <f>SUM(H14,H15,H16,H17,H18)</f>
        <v>10450</v>
      </c>
      <c r="I13" s="404">
        <f>SUM(I14,I15,I16,I17,I18)</f>
        <v>12000</v>
      </c>
      <c r="J13" s="404">
        <f>SUM(J14,J15,J16,J17,J18)</f>
        <v>14280</v>
      </c>
      <c r="K13" s="404">
        <f>SUM(K14,K15,K16,K17,K18)</f>
        <v>13700.45</v>
      </c>
      <c r="L13" s="405">
        <f t="shared" si="2"/>
        <v>95.94152661064427</v>
      </c>
    </row>
    <row r="14" spans="1:12" ht="12.75">
      <c r="A14" s="357">
        <v>8</v>
      </c>
      <c r="B14" s="398"/>
      <c r="C14" s="407" t="s">
        <v>163</v>
      </c>
      <c r="D14" s="443">
        <v>1</v>
      </c>
      <c r="E14" s="444" t="s">
        <v>264</v>
      </c>
      <c r="F14" s="445"/>
      <c r="G14" s="463"/>
      <c r="H14" s="412">
        <f>výdavky!M190</f>
        <v>6000</v>
      </c>
      <c r="I14" s="412">
        <f>výdavky!P190</f>
        <v>6000</v>
      </c>
      <c r="J14" s="610">
        <f>výdavky!T190+výdavky!T191</f>
        <v>7340</v>
      </c>
      <c r="K14" s="412">
        <f>výdavky!V190+výdavky!V191</f>
        <v>6974.26</v>
      </c>
      <c r="L14" s="413">
        <f t="shared" si="2"/>
        <v>95.01716621253406</v>
      </c>
    </row>
    <row r="15" spans="1:12" ht="12.75">
      <c r="A15" s="357">
        <v>9</v>
      </c>
      <c r="B15" s="398"/>
      <c r="C15" s="407" t="s">
        <v>165</v>
      </c>
      <c r="D15" s="447">
        <v>2</v>
      </c>
      <c r="E15" s="448" t="s">
        <v>166</v>
      </c>
      <c r="F15" s="449"/>
      <c r="G15" s="429"/>
      <c r="H15" s="418">
        <f>výdavky!M192</f>
        <v>2000</v>
      </c>
      <c r="I15" s="418">
        <f>výdavky!P192</f>
        <v>2000</v>
      </c>
      <c r="J15" s="611">
        <f>výdavky!T192+výdavky!T193</f>
        <v>2640</v>
      </c>
      <c r="K15" s="418">
        <f>výdavky!V192+výdavky!V193</f>
        <v>2606.34</v>
      </c>
      <c r="L15" s="419">
        <f t="shared" si="2"/>
        <v>98.72500000000001</v>
      </c>
    </row>
    <row r="16" spans="1:12" ht="12.75">
      <c r="A16" s="357">
        <v>10</v>
      </c>
      <c r="B16" s="398"/>
      <c r="C16" s="407" t="s">
        <v>171</v>
      </c>
      <c r="D16" s="456" t="s">
        <v>203</v>
      </c>
      <c r="E16" s="409" t="s">
        <v>172</v>
      </c>
      <c r="F16" s="457"/>
      <c r="G16" s="463">
        <f>ROUND(K16/30.126,1)</f>
        <v>136.8</v>
      </c>
      <c r="H16" s="412">
        <f>výdavky!M194+výdavky!M195</f>
        <v>2450</v>
      </c>
      <c r="I16" s="412">
        <f>výdavky!P194+výdavky!P195</f>
        <v>4000</v>
      </c>
      <c r="J16" s="610">
        <f>výdavky!T194+výdavky!T195</f>
        <v>4300</v>
      </c>
      <c r="K16" s="412">
        <f>výdavky!V194+výdavky!V195</f>
        <v>4119.849999999999</v>
      </c>
      <c r="L16" s="413">
        <f t="shared" si="2"/>
        <v>95.81046511627905</v>
      </c>
    </row>
    <row r="17" spans="1:12" ht="12.75">
      <c r="A17" s="357">
        <f>A16+1</f>
        <v>11</v>
      </c>
      <c r="B17" s="398"/>
      <c r="C17" s="407" t="s">
        <v>173</v>
      </c>
      <c r="D17" s="461" t="s">
        <v>205</v>
      </c>
      <c r="E17" s="420" t="s">
        <v>265</v>
      </c>
      <c r="F17" s="428"/>
      <c r="G17" s="429"/>
      <c r="H17" s="418">
        <v>0</v>
      </c>
      <c r="I17" s="418">
        <v>0</v>
      </c>
      <c r="J17" s="611">
        <v>0</v>
      </c>
      <c r="K17" s="418">
        <v>0</v>
      </c>
      <c r="L17" s="419">
        <v>0</v>
      </c>
    </row>
    <row r="18" spans="1:12" ht="12.75">
      <c r="A18" s="357">
        <f>A17+1</f>
        <v>12</v>
      </c>
      <c r="B18" s="398"/>
      <c r="C18" s="407" t="s">
        <v>179</v>
      </c>
      <c r="D18" s="461" t="s">
        <v>207</v>
      </c>
      <c r="E18" s="420" t="s">
        <v>180</v>
      </c>
      <c r="F18" s="428"/>
      <c r="G18" s="429"/>
      <c r="H18" s="418">
        <v>0</v>
      </c>
      <c r="I18" s="418">
        <v>0</v>
      </c>
      <c r="J18" s="611">
        <v>0</v>
      </c>
      <c r="K18" s="418">
        <v>0</v>
      </c>
      <c r="L18" s="419">
        <v>0</v>
      </c>
    </row>
    <row r="19" spans="1:12" ht="12.75">
      <c r="A19" s="357">
        <v>13</v>
      </c>
      <c r="B19" s="481">
        <v>2</v>
      </c>
      <c r="C19" s="482" t="s">
        <v>266</v>
      </c>
      <c r="D19" s="376"/>
      <c r="E19" s="376"/>
      <c r="F19" s="377"/>
      <c r="G19" s="378" t="str">
        <f>"$#REF!$#REF!+G21"</f>
        <v>$#REF!$#REF!+G21</v>
      </c>
      <c r="H19" s="380">
        <f>H20+SUM(H20,H24)</f>
        <v>3000</v>
      </c>
      <c r="I19" s="380">
        <f>I20+SUM(I20,I24)</f>
        <v>3000</v>
      </c>
      <c r="J19" s="612">
        <f>J20+SUM(J20,J24)</f>
        <v>3000</v>
      </c>
      <c r="K19" s="380">
        <f>K20+SUM(K20,K24)</f>
        <v>3522.44</v>
      </c>
      <c r="L19" s="381">
        <f>K19/J19*100</f>
        <v>117.41466666666666</v>
      </c>
    </row>
    <row r="20" spans="1:12" ht="12.75">
      <c r="A20" s="357">
        <f aca="true" t="shared" si="3" ref="A20:A31">A19+1</f>
        <v>14</v>
      </c>
      <c r="B20" s="398"/>
      <c r="C20" s="407"/>
      <c r="D20" s="361" t="s">
        <v>156</v>
      </c>
      <c r="E20" s="427"/>
      <c r="F20" s="394"/>
      <c r="G20" s="395">
        <f>G21</f>
        <v>0</v>
      </c>
      <c r="H20" s="396">
        <f>H21</f>
        <v>0</v>
      </c>
      <c r="I20" s="396">
        <f>I21</f>
        <v>0</v>
      </c>
      <c r="J20" s="609">
        <f>J21</f>
        <v>0</v>
      </c>
      <c r="K20" s="396">
        <f>K21</f>
        <v>0</v>
      </c>
      <c r="L20" s="397">
        <v>0</v>
      </c>
    </row>
    <row r="21" spans="1:12" ht="12.75">
      <c r="A21" s="357">
        <f t="shared" si="3"/>
        <v>15</v>
      </c>
      <c r="B21" s="398"/>
      <c r="C21" s="484" t="s">
        <v>267</v>
      </c>
      <c r="D21" s="439" t="s">
        <v>268</v>
      </c>
      <c r="E21" s="401"/>
      <c r="F21" s="613"/>
      <c r="G21" s="454">
        <f>SUM(G24:G31)</f>
        <v>0</v>
      </c>
      <c r="H21" s="455">
        <f>SUM(H22,H23)</f>
        <v>0</v>
      </c>
      <c r="I21" s="455">
        <f>SUM(I22,I23)</f>
        <v>0</v>
      </c>
      <c r="J21" s="455">
        <f>SUM(J22,J23)</f>
        <v>0</v>
      </c>
      <c r="K21" s="455">
        <f>SUM(K22,K23)</f>
        <v>0</v>
      </c>
      <c r="L21" s="405">
        <v>0</v>
      </c>
    </row>
    <row r="22" spans="1:12" ht="12.75">
      <c r="A22" s="357">
        <f t="shared" si="3"/>
        <v>16</v>
      </c>
      <c r="B22" s="398"/>
      <c r="C22" s="462" t="s">
        <v>269</v>
      </c>
      <c r="D22" s="456" t="s">
        <v>190</v>
      </c>
      <c r="E22" s="444" t="s">
        <v>270</v>
      </c>
      <c r="F22" s="445"/>
      <c r="G22" s="463"/>
      <c r="H22" s="412">
        <v>0</v>
      </c>
      <c r="I22" s="412">
        <v>0</v>
      </c>
      <c r="J22" s="614">
        <v>0</v>
      </c>
      <c r="K22" s="412">
        <v>0</v>
      </c>
      <c r="L22" s="413">
        <v>0</v>
      </c>
    </row>
    <row r="23" spans="1:12" ht="12.75">
      <c r="A23" s="357">
        <f t="shared" si="3"/>
        <v>17</v>
      </c>
      <c r="B23" s="398"/>
      <c r="C23" s="462" t="s">
        <v>269</v>
      </c>
      <c r="D23" s="461" t="s">
        <v>192</v>
      </c>
      <c r="E23" s="448" t="s">
        <v>271</v>
      </c>
      <c r="F23" s="449"/>
      <c r="G23" s="429"/>
      <c r="H23" s="418">
        <v>0</v>
      </c>
      <c r="I23" s="418">
        <v>0</v>
      </c>
      <c r="J23" s="615">
        <v>0</v>
      </c>
      <c r="K23" s="418">
        <v>0</v>
      </c>
      <c r="L23" s="419">
        <v>0</v>
      </c>
    </row>
    <row r="24" spans="1:12" ht="12.75">
      <c r="A24" s="357">
        <f t="shared" si="3"/>
        <v>18</v>
      </c>
      <c r="B24" s="406"/>
      <c r="C24" s="407"/>
      <c r="D24" s="1606" t="s">
        <v>154</v>
      </c>
      <c r="E24" s="1606"/>
      <c r="F24" s="616"/>
      <c r="G24" s="617"/>
      <c r="H24" s="618">
        <f>SUM(H25)</f>
        <v>3000</v>
      </c>
      <c r="I24" s="618">
        <f>SUM(I25)</f>
        <v>3000</v>
      </c>
      <c r="J24" s="609">
        <f>SUM(J25)</f>
        <v>3000</v>
      </c>
      <c r="K24" s="618">
        <f>SUM(K25)</f>
        <v>3522.44</v>
      </c>
      <c r="L24" s="397">
        <f>K24/J24*100</f>
        <v>117.41466666666666</v>
      </c>
    </row>
    <row r="25" spans="1:12" ht="12.75">
      <c r="A25" s="357">
        <f t="shared" si="3"/>
        <v>19</v>
      </c>
      <c r="B25" s="406"/>
      <c r="C25" s="484" t="s">
        <v>267</v>
      </c>
      <c r="D25" s="439" t="s">
        <v>268</v>
      </c>
      <c r="E25" s="401"/>
      <c r="F25" s="613"/>
      <c r="G25" s="454">
        <f>SUM(G28:G31)</f>
        <v>0</v>
      </c>
      <c r="H25" s="455">
        <f>SUM(H26,H27)</f>
        <v>3000</v>
      </c>
      <c r="I25" s="455">
        <f>SUM(I26,I27)</f>
        <v>3000</v>
      </c>
      <c r="J25" s="455">
        <f>SUM(J26,J27)</f>
        <v>3000</v>
      </c>
      <c r="K25" s="455">
        <f>SUM(K26,K27)</f>
        <v>3522.44</v>
      </c>
      <c r="L25" s="405">
        <f>K25/J25*100</f>
        <v>117.41466666666666</v>
      </c>
    </row>
    <row r="26" spans="1:12" ht="12.75">
      <c r="A26" s="357">
        <f t="shared" si="3"/>
        <v>20</v>
      </c>
      <c r="B26" s="406"/>
      <c r="C26" s="619">
        <v>633</v>
      </c>
      <c r="D26" s="456" t="s">
        <v>203</v>
      </c>
      <c r="E26" s="444" t="s">
        <v>172</v>
      </c>
      <c r="F26" s="444"/>
      <c r="G26" s="444"/>
      <c r="H26" s="412">
        <f>výdavky!M204</f>
        <v>2000</v>
      </c>
      <c r="I26" s="412">
        <f>výdavky!P204</f>
        <v>2000</v>
      </c>
      <c r="J26" s="614">
        <v>0</v>
      </c>
      <c r="K26" s="412">
        <v>0</v>
      </c>
      <c r="L26" s="413">
        <v>0</v>
      </c>
    </row>
    <row r="27" spans="1:12" ht="12.75">
      <c r="A27" s="357">
        <f t="shared" si="3"/>
        <v>21</v>
      </c>
      <c r="B27" s="406"/>
      <c r="C27" s="619">
        <v>635</v>
      </c>
      <c r="D27" s="461" t="s">
        <v>205</v>
      </c>
      <c r="E27" s="448" t="s">
        <v>272</v>
      </c>
      <c r="F27" s="620"/>
      <c r="G27" s="429"/>
      <c r="H27" s="418">
        <f>výdavky!M206</f>
        <v>1000</v>
      </c>
      <c r="I27" s="418">
        <f>výdavky!P206</f>
        <v>1000</v>
      </c>
      <c r="J27" s="615">
        <f>výdavky!T206</f>
        <v>3000</v>
      </c>
      <c r="K27" s="418">
        <f>výdavky!V206</f>
        <v>3522.44</v>
      </c>
      <c r="L27" s="419">
        <f>K27/J27*100</f>
        <v>117.41466666666666</v>
      </c>
    </row>
    <row r="28" spans="1:12" ht="12.75">
      <c r="A28" s="357">
        <f t="shared" si="3"/>
        <v>22</v>
      </c>
      <c r="B28" s="481">
        <v>3</v>
      </c>
      <c r="C28" s="482" t="s">
        <v>273</v>
      </c>
      <c r="D28" s="376"/>
      <c r="E28" s="376"/>
      <c r="F28" s="377"/>
      <c r="G28" s="378" t="str">
        <f>"$#REF!$#REF!+G31"</f>
        <v>$#REF!$#REF!+G31</v>
      </c>
      <c r="H28" s="380">
        <f>SUM(H29)</f>
        <v>0</v>
      </c>
      <c r="I28" s="380">
        <f>SUM(I29)</f>
        <v>0</v>
      </c>
      <c r="J28" s="380">
        <f>SUM(J29)</f>
        <v>0</v>
      </c>
      <c r="K28" s="380">
        <f>SUM(K29)</f>
        <v>0</v>
      </c>
      <c r="L28" s="381">
        <v>0</v>
      </c>
    </row>
    <row r="29" spans="1:12" ht="12.75">
      <c r="A29" s="357">
        <f t="shared" si="3"/>
        <v>23</v>
      </c>
      <c r="B29" s="483"/>
      <c r="C29" s="473"/>
      <c r="D29" s="362" t="s">
        <v>154</v>
      </c>
      <c r="E29" s="393"/>
      <c r="F29" s="394"/>
      <c r="G29" s="395">
        <f>G30</f>
        <v>0</v>
      </c>
      <c r="H29" s="396">
        <f>H30</f>
        <v>0</v>
      </c>
      <c r="I29" s="396">
        <f>I30</f>
        <v>0</v>
      </c>
      <c r="J29" s="609">
        <f>J30</f>
        <v>0</v>
      </c>
      <c r="K29" s="396">
        <f>K30</f>
        <v>0</v>
      </c>
      <c r="L29" s="397">
        <v>0</v>
      </c>
    </row>
    <row r="30" spans="1:12" s="623" customFormat="1" ht="12.75">
      <c r="A30" s="357">
        <f t="shared" si="3"/>
        <v>24</v>
      </c>
      <c r="B30" s="621"/>
      <c r="C30" s="484" t="s">
        <v>274</v>
      </c>
      <c r="D30" s="439" t="s">
        <v>273</v>
      </c>
      <c r="E30" s="401"/>
      <c r="F30" s="622"/>
      <c r="G30" s="441"/>
      <c r="H30" s="404">
        <f>SUM(H31:H31)</f>
        <v>0</v>
      </c>
      <c r="I30" s="404">
        <f>SUM(I31:I31)</f>
        <v>0</v>
      </c>
      <c r="J30" s="404">
        <f>SUM(J31:J31)</f>
        <v>0</v>
      </c>
      <c r="K30" s="404">
        <f>SUM(K31:K31)</f>
        <v>0</v>
      </c>
      <c r="L30" s="405">
        <v>0</v>
      </c>
    </row>
    <row r="31" spans="1:12" ht="12.75">
      <c r="A31" s="357">
        <f t="shared" si="3"/>
        <v>25</v>
      </c>
      <c r="B31" s="624"/>
      <c r="C31" s="462" t="s">
        <v>179</v>
      </c>
      <c r="D31" s="456" t="s">
        <v>190</v>
      </c>
      <c r="E31" s="561" t="s">
        <v>275</v>
      </c>
      <c r="F31" s="625"/>
      <c r="G31" s="463">
        <f>ROUND(K31/30.126,1)</f>
        <v>0</v>
      </c>
      <c r="H31" s="412">
        <v>0</v>
      </c>
      <c r="I31" s="412">
        <v>0</v>
      </c>
      <c r="J31" s="614">
        <v>0</v>
      </c>
      <c r="K31" s="412">
        <v>0</v>
      </c>
      <c r="L31" s="413">
        <v>0</v>
      </c>
    </row>
    <row r="32" spans="1:12" ht="12.75">
      <c r="A32" s="357"/>
      <c r="B32" s="626"/>
      <c r="C32" s="627">
        <v>637</v>
      </c>
      <c r="D32" s="414">
        <v>2</v>
      </c>
      <c r="E32" s="628"/>
      <c r="F32" s="629"/>
      <c r="G32" s="429"/>
      <c r="H32" s="418">
        <v>0</v>
      </c>
      <c r="I32" s="418">
        <v>0</v>
      </c>
      <c r="J32" s="615">
        <v>0</v>
      </c>
      <c r="K32" s="418">
        <v>0</v>
      </c>
      <c r="L32" s="419">
        <v>0</v>
      </c>
    </row>
    <row r="33" spans="1:12" ht="12.75">
      <c r="A33" s="357">
        <v>30</v>
      </c>
      <c r="B33" s="630">
        <v>4</v>
      </c>
      <c r="C33" s="482" t="s">
        <v>276</v>
      </c>
      <c r="D33" s="631"/>
      <c r="E33" s="631"/>
      <c r="F33" s="632"/>
      <c r="G33" s="633" t="str">
        <f>"$#REF!$#REF!+$#REF!$#REF!"</f>
        <v>$#REF!$#REF!+$#REF!$#REF!</v>
      </c>
      <c r="H33" s="380">
        <f>SUM(H34+H44)</f>
        <v>66470</v>
      </c>
      <c r="I33" s="380">
        <f>SUM(I34+I44)</f>
        <v>67470</v>
      </c>
      <c r="J33" s="612">
        <f>SUM(J34+J44)</f>
        <v>87889</v>
      </c>
      <c r="K33" s="380">
        <f>SUM(K34+K44)</f>
        <v>85234.86</v>
      </c>
      <c r="L33" s="381">
        <f aca="true" t="shared" si="4" ref="L33:L43">K33/J33*100</f>
        <v>96.9801226547122</v>
      </c>
    </row>
    <row r="34" spans="1:12" ht="12.75">
      <c r="A34" s="357">
        <f aca="true" t="shared" si="5" ref="A34:A43">A33+1</f>
        <v>31</v>
      </c>
      <c r="B34" s="483"/>
      <c r="C34" s="473"/>
      <c r="D34" s="362" t="s">
        <v>154</v>
      </c>
      <c r="E34" s="393"/>
      <c r="F34" s="394"/>
      <c r="G34" s="395" t="e">
        <f>G35+G45</f>
        <v>#N/A</v>
      </c>
      <c r="H34" s="396">
        <f>H35</f>
        <v>66470</v>
      </c>
      <c r="I34" s="396">
        <f>I35</f>
        <v>67470</v>
      </c>
      <c r="J34" s="609">
        <f>J35</f>
        <v>87889</v>
      </c>
      <c r="K34" s="396">
        <f>K35</f>
        <v>85234.86</v>
      </c>
      <c r="L34" s="397">
        <f t="shared" si="4"/>
        <v>96.9801226547122</v>
      </c>
    </row>
    <row r="35" spans="1:12" ht="12.75">
      <c r="A35" s="357">
        <f t="shared" si="5"/>
        <v>32</v>
      </c>
      <c r="B35" s="398"/>
      <c r="C35" s="484" t="s">
        <v>277</v>
      </c>
      <c r="D35" s="400" t="s">
        <v>278</v>
      </c>
      <c r="E35" s="401"/>
      <c r="F35" s="402"/>
      <c r="G35" s="441">
        <f>SUM(G36:G43)</f>
        <v>1801.9</v>
      </c>
      <c r="H35" s="404">
        <f>SUM(H36:H43)</f>
        <v>66470</v>
      </c>
      <c r="I35" s="404">
        <f>SUM(I36:I43)</f>
        <v>67470</v>
      </c>
      <c r="J35" s="404">
        <f>SUM(J36:J43)</f>
        <v>87889</v>
      </c>
      <c r="K35" s="404">
        <f>SUM(K36:K43)</f>
        <v>85234.86</v>
      </c>
      <c r="L35" s="405">
        <f t="shared" si="4"/>
        <v>96.9801226547122</v>
      </c>
    </row>
    <row r="36" spans="1:12" ht="12.75">
      <c r="A36" s="357">
        <f t="shared" si="5"/>
        <v>33</v>
      </c>
      <c r="B36" s="406"/>
      <c r="C36" s="462" t="s">
        <v>163</v>
      </c>
      <c r="D36" s="456" t="s">
        <v>190</v>
      </c>
      <c r="E36" s="409" t="s">
        <v>264</v>
      </c>
      <c r="F36" s="457"/>
      <c r="G36" s="463">
        <f>ROUND(K36/30.126,1)</f>
        <v>1750</v>
      </c>
      <c r="H36" s="412">
        <f>výdavky!M174</f>
        <v>40000</v>
      </c>
      <c r="I36" s="412">
        <f>výdavky!P174</f>
        <v>40000</v>
      </c>
      <c r="J36" s="610">
        <f>výdavky!T174</f>
        <v>54000</v>
      </c>
      <c r="K36" s="412">
        <f>výdavky!V174</f>
        <v>52721.9</v>
      </c>
      <c r="L36" s="413">
        <f t="shared" si="4"/>
        <v>97.63314814814815</v>
      </c>
    </row>
    <row r="37" spans="1:12" ht="12.75">
      <c r="A37" s="357">
        <f t="shared" si="5"/>
        <v>34</v>
      </c>
      <c r="B37" s="406"/>
      <c r="C37" s="462" t="s">
        <v>165</v>
      </c>
      <c r="D37" s="461" t="s">
        <v>192</v>
      </c>
      <c r="E37" s="420" t="s">
        <v>166</v>
      </c>
      <c r="F37" s="428"/>
      <c r="G37" s="429"/>
      <c r="H37" s="418">
        <f>výdavky!M175</f>
        <v>14500</v>
      </c>
      <c r="I37" s="418">
        <f>výdavky!P175</f>
        <v>14500</v>
      </c>
      <c r="J37" s="611">
        <f>výdavky!T175</f>
        <v>19300</v>
      </c>
      <c r="K37" s="418">
        <f>výdavky!V175</f>
        <v>19425.42</v>
      </c>
      <c r="L37" s="419">
        <f t="shared" si="4"/>
        <v>100.64984455958547</v>
      </c>
    </row>
    <row r="38" spans="1:12" ht="12.75">
      <c r="A38" s="357">
        <f t="shared" si="5"/>
        <v>35</v>
      </c>
      <c r="B38" s="406"/>
      <c r="C38" s="462" t="s">
        <v>169</v>
      </c>
      <c r="D38" s="456" t="s">
        <v>203</v>
      </c>
      <c r="E38" s="409" t="s">
        <v>170</v>
      </c>
      <c r="F38" s="457"/>
      <c r="G38" s="463">
        <f>ROUND(K38/30.126,1)</f>
        <v>51.9</v>
      </c>
      <c r="H38" s="412">
        <f>výdavky!M176</f>
        <v>1500</v>
      </c>
      <c r="I38" s="412">
        <f>výdavky!P176</f>
        <v>1500</v>
      </c>
      <c r="J38" s="610">
        <f>výdavky!T176</f>
        <v>1500</v>
      </c>
      <c r="K38" s="412">
        <f>výdavky!V176</f>
        <v>1562.71</v>
      </c>
      <c r="L38" s="413">
        <f t="shared" si="4"/>
        <v>104.18066666666668</v>
      </c>
    </row>
    <row r="39" spans="1:12" ht="12.75">
      <c r="A39" s="357">
        <f t="shared" si="5"/>
        <v>36</v>
      </c>
      <c r="B39" s="406"/>
      <c r="C39" s="462" t="s">
        <v>171</v>
      </c>
      <c r="D39" s="461" t="s">
        <v>205</v>
      </c>
      <c r="E39" s="420" t="s">
        <v>172</v>
      </c>
      <c r="F39" s="428"/>
      <c r="G39" s="429"/>
      <c r="H39" s="418">
        <f>výdavky!M177</f>
        <v>1500</v>
      </c>
      <c r="I39" s="418">
        <f>výdavky!P177</f>
        <v>500</v>
      </c>
      <c r="J39" s="611">
        <f>výdavky!T177</f>
        <v>400</v>
      </c>
      <c r="K39" s="418">
        <f>výdavky!V177</f>
        <v>51.29</v>
      </c>
      <c r="L39" s="419">
        <f t="shared" si="4"/>
        <v>12.8225</v>
      </c>
    </row>
    <row r="40" spans="1:12" ht="12.75">
      <c r="A40" s="357">
        <f t="shared" si="5"/>
        <v>37</v>
      </c>
      <c r="B40" s="406"/>
      <c r="C40" s="462" t="s">
        <v>173</v>
      </c>
      <c r="D40" s="456" t="s">
        <v>207</v>
      </c>
      <c r="E40" s="409" t="s">
        <v>174</v>
      </c>
      <c r="F40" s="457"/>
      <c r="G40" s="463"/>
      <c r="H40" s="412">
        <f>výdavky!M181</f>
        <v>7800</v>
      </c>
      <c r="I40" s="412">
        <f>výdavky!P181</f>
        <v>7800</v>
      </c>
      <c r="J40" s="610">
        <f>výdavky!T181</f>
        <v>7800</v>
      </c>
      <c r="K40" s="412">
        <f>výdavky!V181</f>
        <v>6693.62</v>
      </c>
      <c r="L40" s="413">
        <f t="shared" si="4"/>
        <v>85.81564102564101</v>
      </c>
    </row>
    <row r="41" spans="1:12" ht="12.75">
      <c r="A41" s="357">
        <f t="shared" si="5"/>
        <v>38</v>
      </c>
      <c r="B41" s="406"/>
      <c r="C41" s="462" t="s">
        <v>175</v>
      </c>
      <c r="D41" s="461" t="s">
        <v>211</v>
      </c>
      <c r="E41" s="420" t="s">
        <v>279</v>
      </c>
      <c r="F41" s="428"/>
      <c r="G41" s="429"/>
      <c r="H41" s="418">
        <f>výdavky!M185</f>
        <v>1000</v>
      </c>
      <c r="I41" s="418">
        <f>výdavky!P185</f>
        <v>3000</v>
      </c>
      <c r="J41" s="611">
        <f>výdavky!T185</f>
        <v>3500</v>
      </c>
      <c r="K41" s="418">
        <f>výdavky!V185</f>
        <v>3346.19</v>
      </c>
      <c r="L41" s="419">
        <f t="shared" si="4"/>
        <v>95.60542857142858</v>
      </c>
    </row>
    <row r="42" spans="1:12" ht="12.75">
      <c r="A42" s="357">
        <f t="shared" si="5"/>
        <v>39</v>
      </c>
      <c r="B42" s="406"/>
      <c r="C42" s="462" t="s">
        <v>179</v>
      </c>
      <c r="D42" s="456" t="s">
        <v>214</v>
      </c>
      <c r="E42" s="409" t="s">
        <v>244</v>
      </c>
      <c r="F42" s="457"/>
      <c r="G42" s="463"/>
      <c r="H42" s="412">
        <f>výdavky!M186</f>
        <v>170</v>
      </c>
      <c r="I42" s="412">
        <f>výdavky!P186</f>
        <v>170</v>
      </c>
      <c r="J42" s="610">
        <f>výdavky!T186</f>
        <v>270</v>
      </c>
      <c r="K42" s="412">
        <f>výdavky!V186</f>
        <v>314.73</v>
      </c>
      <c r="L42" s="413">
        <f t="shared" si="4"/>
        <v>116.56666666666666</v>
      </c>
    </row>
    <row r="43" spans="1:12" ht="12.75">
      <c r="A43" s="357">
        <f t="shared" si="5"/>
        <v>40</v>
      </c>
      <c r="B43" s="406"/>
      <c r="C43" s="462" t="s">
        <v>189</v>
      </c>
      <c r="D43" s="461" t="s">
        <v>243</v>
      </c>
      <c r="E43" s="420" t="s">
        <v>280</v>
      </c>
      <c r="F43" s="428"/>
      <c r="G43" s="429"/>
      <c r="H43" s="418">
        <v>0</v>
      </c>
      <c r="I43" s="418">
        <v>0</v>
      </c>
      <c r="J43" s="611">
        <f>výdavky!T187</f>
        <v>1119</v>
      </c>
      <c r="K43" s="418">
        <f>výdavky!V187</f>
        <v>1119</v>
      </c>
      <c r="L43" s="419">
        <f t="shared" si="4"/>
        <v>100</v>
      </c>
    </row>
    <row r="44" spans="1:12" ht="12.75">
      <c r="A44" s="357">
        <v>41</v>
      </c>
      <c r="B44" s="406"/>
      <c r="C44" s="407"/>
      <c r="D44" s="361" t="s">
        <v>156</v>
      </c>
      <c r="E44" s="427"/>
      <c r="F44" s="394"/>
      <c r="G44" s="395" t="e">
        <f>G45</f>
        <v>#N/A</v>
      </c>
      <c r="H44" s="396">
        <f>H45</f>
        <v>0</v>
      </c>
      <c r="I44" s="396">
        <f>I45</f>
        <v>0</v>
      </c>
      <c r="J44" s="609">
        <f>J45</f>
        <v>0</v>
      </c>
      <c r="K44" s="396">
        <f>K45</f>
        <v>0</v>
      </c>
      <c r="L44" s="397">
        <v>0</v>
      </c>
    </row>
    <row r="45" spans="1:12" ht="12.75">
      <c r="A45" s="357">
        <f>A44+1</f>
        <v>42</v>
      </c>
      <c r="B45" s="406"/>
      <c r="C45" s="484" t="s">
        <v>281</v>
      </c>
      <c r="D45" s="400" t="s">
        <v>278</v>
      </c>
      <c r="E45" s="401"/>
      <c r="F45" s="402"/>
      <c r="G45" s="441" t="e">
        <f>NA()</f>
        <v>#N/A</v>
      </c>
      <c r="H45" s="404">
        <f>SUM(H46:H46)</f>
        <v>0</v>
      </c>
      <c r="I45" s="404">
        <f>SUM(I46:I46)</f>
        <v>0</v>
      </c>
      <c r="J45" s="404">
        <f>SUM(J46:J46)</f>
        <v>0</v>
      </c>
      <c r="K45" s="404">
        <f>SUM(K46:K46)</f>
        <v>0</v>
      </c>
      <c r="L45" s="405">
        <v>0</v>
      </c>
    </row>
    <row r="46" spans="1:12" s="437" customFormat="1" ht="12.75">
      <c r="A46" s="493">
        <v>43</v>
      </c>
      <c r="B46" s="634"/>
      <c r="C46" s="635" t="s">
        <v>269</v>
      </c>
      <c r="D46" s="537" t="s">
        <v>245</v>
      </c>
      <c r="E46" s="636"/>
      <c r="F46" s="637"/>
      <c r="G46" s="638"/>
      <c r="H46" s="542">
        <v>0</v>
      </c>
      <c r="I46" s="542">
        <v>0</v>
      </c>
      <c r="J46" s="639">
        <v>0</v>
      </c>
      <c r="K46" s="542">
        <v>0</v>
      </c>
      <c r="L46" s="543">
        <v>0</v>
      </c>
    </row>
  </sheetData>
  <mergeCells count="4">
    <mergeCell ref="H3:J3"/>
    <mergeCell ref="K3:L3"/>
    <mergeCell ref="D4:F6"/>
    <mergeCell ref="D24:E24"/>
  </mergeCells>
  <printOptions/>
  <pageMargins left="0.7875" right="0.19652777777777777" top="0.39375" bottom="0.39375" header="0.5118055555555556" footer="0.5118055555555556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I12" sqref="I12"/>
    </sheetView>
  </sheetViews>
  <sheetFormatPr defaultColWidth="9.00390625" defaultRowHeight="12.75"/>
  <cols>
    <col min="1" max="1" width="3.625" style="316" customWidth="1"/>
    <col min="2" max="2" width="4.125" style="317" customWidth="1"/>
    <col min="3" max="3" width="7.625" style="318" customWidth="1"/>
    <col min="4" max="4" width="3.375" style="318" customWidth="1"/>
    <col min="5" max="5" width="31.375" style="318" customWidth="1"/>
    <col min="6" max="6" width="9.875" style="318" customWidth="1"/>
    <col min="7" max="7" width="0" style="318" hidden="1" customWidth="1"/>
    <col min="8" max="9" width="9.125" style="318" customWidth="1"/>
    <col min="10" max="10" width="9.75390625" style="318" customWidth="1"/>
    <col min="11" max="12" width="8.375" style="318" customWidth="1"/>
    <col min="13" max="16384" width="9.125" style="318" customWidth="1"/>
  </cols>
  <sheetData>
    <row r="1" spans="2:12" ht="15.75">
      <c r="B1" s="322" t="s">
        <v>282</v>
      </c>
      <c r="E1" s="322" t="s">
        <v>283</v>
      </c>
      <c r="F1" s="320"/>
      <c r="G1" s="502" t="e">
        <f>G2-G7</f>
        <v>#N/A</v>
      </c>
      <c r="H1" s="502"/>
      <c r="I1" s="502"/>
      <c r="J1" s="503">
        <f>J2-J7</f>
        <v>0</v>
      </c>
      <c r="K1" s="503">
        <f>K2-K7</f>
        <v>0</v>
      </c>
      <c r="L1" s="503">
        <f>L2-L7</f>
        <v>0</v>
      </c>
    </row>
    <row r="2" spans="2:12" ht="16.5" thickBot="1">
      <c r="B2" s="322"/>
      <c r="G2" s="504" t="e">
        <f>SUM(G8:G10)</f>
        <v>#N/A</v>
      </c>
      <c r="H2" s="504"/>
      <c r="I2" s="504"/>
      <c r="J2" s="330">
        <f>SUM(J8:J10)</f>
        <v>97066</v>
      </c>
      <c r="K2" s="330">
        <f>SUM(K8:K10)</f>
        <v>95496.73</v>
      </c>
      <c r="L2" s="330">
        <f>SUM(L8:L10)</f>
        <v>98.38329590175756</v>
      </c>
    </row>
    <row r="3" spans="1:12" ht="16.5" thickBot="1">
      <c r="A3" s="331"/>
      <c r="B3" s="332"/>
      <c r="C3" s="333"/>
      <c r="D3" s="333"/>
      <c r="E3" s="334"/>
      <c r="F3" s="335"/>
      <c r="G3" s="336" t="s">
        <v>137</v>
      </c>
      <c r="H3" s="1598" t="s">
        <v>138</v>
      </c>
      <c r="I3" s="1599"/>
      <c r="J3" s="1600"/>
      <c r="K3" s="1601" t="s">
        <v>139</v>
      </c>
      <c r="L3" s="1602"/>
    </row>
    <row r="4" spans="1:12" ht="11.25" customHeight="1" thickBot="1">
      <c r="A4" s="337"/>
      <c r="B4" s="338" t="s">
        <v>140</v>
      </c>
      <c r="C4" s="339" t="s">
        <v>141</v>
      </c>
      <c r="D4" s="1604" t="s">
        <v>142</v>
      </c>
      <c r="E4" s="1604"/>
      <c r="F4" s="1604"/>
      <c r="G4" s="340"/>
      <c r="H4" s="341">
        <v>2012</v>
      </c>
      <c r="I4" s="341" t="s">
        <v>143</v>
      </c>
      <c r="J4" s="341" t="s">
        <v>144</v>
      </c>
      <c r="K4" s="342">
        <v>2012</v>
      </c>
      <c r="L4" s="342" t="s">
        <v>15</v>
      </c>
    </row>
    <row r="5" spans="1:12" ht="15" customHeight="1">
      <c r="A5" s="337"/>
      <c r="B5" s="338" t="s">
        <v>145</v>
      </c>
      <c r="C5" s="339" t="s">
        <v>146</v>
      </c>
      <c r="D5" s="1604"/>
      <c r="E5" s="1604"/>
      <c r="F5" s="1604"/>
      <c r="G5" s="343" t="s">
        <v>147</v>
      </c>
      <c r="H5" s="344" t="s">
        <v>148</v>
      </c>
      <c r="I5" s="344" t="s">
        <v>148</v>
      </c>
      <c r="J5" s="344" t="s">
        <v>148</v>
      </c>
      <c r="K5" s="345" t="s">
        <v>149</v>
      </c>
      <c r="L5" s="345"/>
    </row>
    <row r="6" spans="1:12" ht="13.5" thickBot="1">
      <c r="A6" s="505"/>
      <c r="B6" s="506" t="s">
        <v>150</v>
      </c>
      <c r="C6" s="507" t="s">
        <v>151</v>
      </c>
      <c r="D6" s="1604"/>
      <c r="E6" s="1604"/>
      <c r="F6" s="1604"/>
      <c r="G6" s="508">
        <v>1</v>
      </c>
      <c r="H6" s="346">
        <v>1</v>
      </c>
      <c r="I6" s="346">
        <v>2</v>
      </c>
      <c r="J6" s="347">
        <v>3</v>
      </c>
      <c r="K6" s="348">
        <v>4</v>
      </c>
      <c r="L6" s="348">
        <v>5</v>
      </c>
    </row>
    <row r="7" spans="1:12" ht="15.75" thickBot="1">
      <c r="A7" s="357">
        <v>1</v>
      </c>
      <c r="B7" s="509" t="s">
        <v>282</v>
      </c>
      <c r="C7" s="510"/>
      <c r="D7" s="511"/>
      <c r="E7" s="512" t="s">
        <v>283</v>
      </c>
      <c r="F7" s="513"/>
      <c r="G7" s="514" t="e">
        <f>G11+G22</f>
        <v>#N/A</v>
      </c>
      <c r="H7" s="355">
        <f>SUM(H8,H9,H10)</f>
        <v>97066</v>
      </c>
      <c r="I7" s="553">
        <f>SUM(I8,I9,I10)</f>
        <v>97066</v>
      </c>
      <c r="J7" s="1498">
        <f>SUM(J8,J9,J10)</f>
        <v>97066</v>
      </c>
      <c r="K7" s="1497">
        <f>SUM(K8,K9,K10)</f>
        <v>95496.73</v>
      </c>
      <c r="L7" s="356">
        <f>K7/J7*100</f>
        <v>98.38329590175756</v>
      </c>
    </row>
    <row r="8" spans="1:12" ht="12.75">
      <c r="A8" s="357">
        <f aca="true" t="shared" si="0" ref="A8:A17">A7+1</f>
        <v>2</v>
      </c>
      <c r="B8" s="516" t="s">
        <v>153</v>
      </c>
      <c r="C8" s="359" t="s">
        <v>154</v>
      </c>
      <c r="D8" s="360"/>
      <c r="E8" s="361"/>
      <c r="F8" s="362"/>
      <c r="G8" s="517" t="e">
        <f>G12+G23</f>
        <v>#N/A</v>
      </c>
      <c r="H8" s="519">
        <f>SUM(H12+H23)</f>
        <v>97066</v>
      </c>
      <c r="I8" s="519">
        <f>SUM(I12+I23)</f>
        <v>97066</v>
      </c>
      <c r="J8" s="518">
        <f>SUM(J12+J23)</f>
        <v>97066</v>
      </c>
      <c r="K8" s="519">
        <f>SUM(K12+K23)</f>
        <v>95496.73</v>
      </c>
      <c r="L8" s="365">
        <f>K8/J8*100</f>
        <v>98.38329590175756</v>
      </c>
    </row>
    <row r="9" spans="1:12" ht="12.75">
      <c r="A9" s="357">
        <f t="shared" si="0"/>
        <v>3</v>
      </c>
      <c r="B9" s="516" t="s">
        <v>155</v>
      </c>
      <c r="C9" s="359" t="s">
        <v>156</v>
      </c>
      <c r="D9" s="360"/>
      <c r="E9" s="361"/>
      <c r="F9" s="362"/>
      <c r="G9" s="517" t="str">
        <f>"$#REF!$#REF!"</f>
        <v>$#REF!$#REF!</v>
      </c>
      <c r="H9" s="519">
        <f>H18</f>
        <v>0</v>
      </c>
      <c r="I9" s="519">
        <f>I18+I31</f>
        <v>0</v>
      </c>
      <c r="J9" s="519">
        <f>J18</f>
        <v>0</v>
      </c>
      <c r="K9" s="519">
        <f>K18</f>
        <v>0</v>
      </c>
      <c r="L9" s="365">
        <v>0</v>
      </c>
    </row>
    <row r="10" spans="1:12" ht="12.75">
      <c r="A10" s="357">
        <f t="shared" si="0"/>
        <v>4</v>
      </c>
      <c r="B10" s="521"/>
      <c r="C10" s="367" t="s">
        <v>157</v>
      </c>
      <c r="D10" s="368"/>
      <c r="E10" s="369"/>
      <c r="F10" s="370"/>
      <c r="G10" s="522">
        <v>0</v>
      </c>
      <c r="H10" s="519">
        <v>0</v>
      </c>
      <c r="I10" s="519">
        <v>0</v>
      </c>
      <c r="J10" s="518">
        <v>0</v>
      </c>
      <c r="K10" s="519">
        <v>0</v>
      </c>
      <c r="L10" s="365">
        <v>0</v>
      </c>
    </row>
    <row r="11" spans="1:12" ht="12.75">
      <c r="A11" s="357">
        <f t="shared" si="0"/>
        <v>5</v>
      </c>
      <c r="B11" s="525">
        <v>1</v>
      </c>
      <c r="C11" s="486" t="s">
        <v>284</v>
      </c>
      <c r="D11" s="376"/>
      <c r="E11" s="376"/>
      <c r="F11" s="377"/>
      <c r="G11" s="378" t="e">
        <f>SUM(G13)+"$#REF!$#REF!"</f>
        <v>#N/A</v>
      </c>
      <c r="H11" s="379">
        <f aca="true" t="shared" si="1" ref="H11:K12">H12</f>
        <v>72066</v>
      </c>
      <c r="I11" s="379">
        <f t="shared" si="1"/>
        <v>72066</v>
      </c>
      <c r="J11" s="379">
        <f t="shared" si="1"/>
        <v>72066</v>
      </c>
      <c r="K11" s="379">
        <f t="shared" si="1"/>
        <v>73011.37</v>
      </c>
      <c r="L11" s="640">
        <f>K11/J11*100</f>
        <v>101.31181139511003</v>
      </c>
    </row>
    <row r="12" spans="1:12" s="437" customFormat="1" ht="12.75">
      <c r="A12" s="357">
        <f t="shared" si="0"/>
        <v>6</v>
      </c>
      <c r="B12" s="527"/>
      <c r="C12" s="392"/>
      <c r="D12" s="362" t="s">
        <v>154</v>
      </c>
      <c r="E12" s="393"/>
      <c r="F12" s="394"/>
      <c r="G12" s="395" t="e">
        <f>G13</f>
        <v>#N/A</v>
      </c>
      <c r="H12" s="396">
        <f t="shared" si="1"/>
        <v>72066</v>
      </c>
      <c r="I12" s="396">
        <f t="shared" si="1"/>
        <v>72066</v>
      </c>
      <c r="J12" s="396">
        <f t="shared" si="1"/>
        <v>72066</v>
      </c>
      <c r="K12" s="396">
        <f t="shared" si="1"/>
        <v>73011.37</v>
      </c>
      <c r="L12" s="397">
        <f>K12/J12*100</f>
        <v>101.31181139511003</v>
      </c>
    </row>
    <row r="13" spans="1:12" ht="12.75">
      <c r="A13" s="357">
        <f t="shared" si="0"/>
        <v>7</v>
      </c>
      <c r="B13" s="529"/>
      <c r="C13" s="530" t="s">
        <v>285</v>
      </c>
      <c r="D13" s="439" t="s">
        <v>286</v>
      </c>
      <c r="E13" s="531"/>
      <c r="F13" s="532"/>
      <c r="G13" s="441" t="e">
        <f>NA()</f>
        <v>#N/A</v>
      </c>
      <c r="H13" s="404">
        <f>SUM(H14,H15,H16,H17)</f>
        <v>72066</v>
      </c>
      <c r="I13" s="404">
        <f>SUM(I14,I15,I16,I17)</f>
        <v>72066</v>
      </c>
      <c r="J13" s="404">
        <f>SUM(J14,J15,J16,J17)</f>
        <v>72066</v>
      </c>
      <c r="K13" s="404">
        <f>SUM(K14,K15,K16,K17)</f>
        <v>73011.37</v>
      </c>
      <c r="L13" s="405">
        <f>K13/J13*100</f>
        <v>101.31181139511003</v>
      </c>
    </row>
    <row r="14" spans="1:12" ht="12.75">
      <c r="A14" s="357">
        <f t="shared" si="0"/>
        <v>8</v>
      </c>
      <c r="B14" s="529"/>
      <c r="C14" s="460" t="s">
        <v>171</v>
      </c>
      <c r="D14" s="461" t="s">
        <v>190</v>
      </c>
      <c r="E14" s="415" t="s">
        <v>172</v>
      </c>
      <c r="F14" s="449"/>
      <c r="G14" s="450"/>
      <c r="H14" s="418">
        <v>0</v>
      </c>
      <c r="I14" s="418">
        <v>0</v>
      </c>
      <c r="J14" s="418">
        <v>0</v>
      </c>
      <c r="K14" s="418">
        <f>výdavky!V236</f>
        <v>0</v>
      </c>
      <c r="L14" s="419">
        <v>0</v>
      </c>
    </row>
    <row r="15" spans="1:12" ht="12.75">
      <c r="A15" s="357">
        <f t="shared" si="0"/>
        <v>9</v>
      </c>
      <c r="B15" s="529"/>
      <c r="C15" s="460" t="s">
        <v>173</v>
      </c>
      <c r="D15" s="461" t="s">
        <v>192</v>
      </c>
      <c r="E15" s="415" t="s">
        <v>174</v>
      </c>
      <c r="F15" s="449"/>
      <c r="G15" s="450"/>
      <c r="H15" s="418">
        <v>0</v>
      </c>
      <c r="I15" s="418">
        <v>0</v>
      </c>
      <c r="J15" s="418">
        <v>0</v>
      </c>
      <c r="K15" s="418">
        <v>0</v>
      </c>
      <c r="L15" s="419">
        <v>0</v>
      </c>
    </row>
    <row r="16" spans="1:12" ht="12.75">
      <c r="A16" s="357">
        <f t="shared" si="0"/>
        <v>10</v>
      </c>
      <c r="B16" s="529"/>
      <c r="C16" s="460" t="s">
        <v>175</v>
      </c>
      <c r="D16" s="461" t="s">
        <v>203</v>
      </c>
      <c r="E16" s="415" t="s">
        <v>255</v>
      </c>
      <c r="F16" s="449"/>
      <c r="G16" s="450"/>
      <c r="H16" s="418">
        <f>výdavky!M258</f>
        <v>66</v>
      </c>
      <c r="I16" s="418">
        <f>výdavky!P258</f>
        <v>66</v>
      </c>
      <c r="J16" s="418">
        <f>výdavky!T259</f>
        <v>66</v>
      </c>
      <c r="K16" s="418">
        <f>výdavky!V260</f>
        <v>390</v>
      </c>
      <c r="L16" s="419">
        <f>K16/J16*100</f>
        <v>590.9090909090909</v>
      </c>
    </row>
    <row r="17" spans="1:12" ht="12.75">
      <c r="A17" s="357">
        <f t="shared" si="0"/>
        <v>11</v>
      </c>
      <c r="B17" s="529"/>
      <c r="C17" s="460" t="s">
        <v>179</v>
      </c>
      <c r="D17" s="461" t="s">
        <v>205</v>
      </c>
      <c r="E17" s="415" t="s">
        <v>287</v>
      </c>
      <c r="F17" s="449"/>
      <c r="G17" s="450"/>
      <c r="H17" s="418">
        <f>výdavky!M242</f>
        <v>72000</v>
      </c>
      <c r="I17" s="418">
        <f>výdavky!P242</f>
        <v>72000</v>
      </c>
      <c r="J17" s="418">
        <f>výdavky!T242</f>
        <v>72000</v>
      </c>
      <c r="K17" s="418">
        <f>výdavky!V242</f>
        <v>72621.37</v>
      </c>
      <c r="L17" s="419">
        <f>K17/J17*100</f>
        <v>100.86301388888887</v>
      </c>
    </row>
    <row r="18" spans="1:12" ht="12.75">
      <c r="A18" s="357">
        <v>12</v>
      </c>
      <c r="B18" s="398"/>
      <c r="C18" s="407"/>
      <c r="D18" s="361" t="s">
        <v>156</v>
      </c>
      <c r="E18" s="427"/>
      <c r="F18" s="394"/>
      <c r="G18" s="395">
        <f>G20</f>
        <v>0</v>
      </c>
      <c r="H18" s="396">
        <f>H19</f>
        <v>0</v>
      </c>
      <c r="I18" s="396">
        <f>I19</f>
        <v>0</v>
      </c>
      <c r="J18" s="396">
        <f>J19</f>
        <v>0</v>
      </c>
      <c r="K18" s="396">
        <f>K19</f>
        <v>0</v>
      </c>
      <c r="L18" s="397">
        <v>0</v>
      </c>
    </row>
    <row r="19" spans="1:12" ht="12.75">
      <c r="A19" s="357">
        <f aca="true" t="shared" si="2" ref="A19:A24">A18+1</f>
        <v>13</v>
      </c>
      <c r="B19" s="398"/>
      <c r="C19" s="399" t="s">
        <v>288</v>
      </c>
      <c r="D19" s="400" t="s">
        <v>286</v>
      </c>
      <c r="E19" s="401"/>
      <c r="F19" s="402"/>
      <c r="G19" s="403">
        <f>SUM(G20:G24)</f>
        <v>234.29999999999998</v>
      </c>
      <c r="H19" s="404">
        <f>H20+SUM(H20,H21)</f>
        <v>0</v>
      </c>
      <c r="I19" s="404">
        <f>I20+SUM(I20,I21)</f>
        <v>0</v>
      </c>
      <c r="J19" s="404">
        <f>SUM(J20,J21)</f>
        <v>0</v>
      </c>
      <c r="K19" s="404">
        <f>K20+SUM(K20,K21)</f>
        <v>0</v>
      </c>
      <c r="L19" s="405">
        <v>0</v>
      </c>
    </row>
    <row r="20" spans="1:12" ht="12.75">
      <c r="A20" s="357">
        <f t="shared" si="2"/>
        <v>14</v>
      </c>
      <c r="B20" s="529"/>
      <c r="C20" s="460" t="s">
        <v>269</v>
      </c>
      <c r="D20" s="461" t="s">
        <v>207</v>
      </c>
      <c r="E20" s="563" t="s">
        <v>289</v>
      </c>
      <c r="F20" s="428"/>
      <c r="G20" s="429"/>
      <c r="H20" s="418">
        <v>0</v>
      </c>
      <c r="I20" s="418">
        <v>0</v>
      </c>
      <c r="J20" s="418">
        <v>0</v>
      </c>
      <c r="K20" s="418">
        <v>0</v>
      </c>
      <c r="L20" s="419">
        <v>0</v>
      </c>
    </row>
    <row r="21" spans="1:12" ht="12.75">
      <c r="A21" s="357">
        <f t="shared" si="2"/>
        <v>15</v>
      </c>
      <c r="B21" s="529"/>
      <c r="C21" s="460" t="s">
        <v>269</v>
      </c>
      <c r="D21" s="461" t="s">
        <v>211</v>
      </c>
      <c r="E21" s="563" t="s">
        <v>290</v>
      </c>
      <c r="F21" s="428"/>
      <c r="G21" s="429"/>
      <c r="H21" s="418">
        <v>0</v>
      </c>
      <c r="I21" s="418">
        <v>0</v>
      </c>
      <c r="J21" s="418">
        <v>0</v>
      </c>
      <c r="K21" s="418">
        <v>0</v>
      </c>
      <c r="L21" s="419">
        <v>0</v>
      </c>
    </row>
    <row r="22" spans="1:12" ht="12.75">
      <c r="A22" s="357">
        <f t="shared" si="2"/>
        <v>16</v>
      </c>
      <c r="B22" s="525">
        <v>2</v>
      </c>
      <c r="C22" s="641" t="s">
        <v>291</v>
      </c>
      <c r="D22" s="376"/>
      <c r="E22" s="376"/>
      <c r="F22" s="377"/>
      <c r="G22" s="378">
        <f>SUM(G24)</f>
        <v>78.1</v>
      </c>
      <c r="H22" s="380">
        <f aca="true" t="shared" si="3" ref="H22:K23">H23</f>
        <v>25000</v>
      </c>
      <c r="I22" s="380">
        <f t="shared" si="3"/>
        <v>25000</v>
      </c>
      <c r="J22" s="380">
        <f t="shared" si="3"/>
        <v>25000</v>
      </c>
      <c r="K22" s="380">
        <f t="shared" si="3"/>
        <v>22485.36</v>
      </c>
      <c r="L22" s="381">
        <f aca="true" t="shared" si="4" ref="L22:L27">K22/J22*100</f>
        <v>89.94144</v>
      </c>
    </row>
    <row r="23" spans="1:12" s="437" customFormat="1" ht="12.75">
      <c r="A23" s="357">
        <f t="shared" si="2"/>
        <v>17</v>
      </c>
      <c r="B23" s="527"/>
      <c r="C23" s="642"/>
      <c r="D23" s="362" t="s">
        <v>154</v>
      </c>
      <c r="E23" s="393"/>
      <c r="F23" s="394"/>
      <c r="G23" s="395">
        <f>G24</f>
        <v>78.1</v>
      </c>
      <c r="H23" s="396">
        <f t="shared" si="3"/>
        <v>25000</v>
      </c>
      <c r="I23" s="396">
        <f t="shared" si="3"/>
        <v>25000</v>
      </c>
      <c r="J23" s="396">
        <f t="shared" si="3"/>
        <v>25000</v>
      </c>
      <c r="K23" s="396">
        <f t="shared" si="3"/>
        <v>22485.36</v>
      </c>
      <c r="L23" s="397">
        <f t="shared" si="4"/>
        <v>89.94144</v>
      </c>
    </row>
    <row r="24" spans="1:12" ht="12.75">
      <c r="A24" s="357">
        <f t="shared" si="2"/>
        <v>18</v>
      </c>
      <c r="B24" s="529"/>
      <c r="C24" s="643" t="s">
        <v>292</v>
      </c>
      <c r="D24" s="439" t="s">
        <v>291</v>
      </c>
      <c r="E24" s="531"/>
      <c r="F24" s="532"/>
      <c r="G24" s="441">
        <f>G35</f>
        <v>78.1</v>
      </c>
      <c r="H24" s="404">
        <f>H35+SUM(H25,H26,H27,H28,H29,H30)</f>
        <v>25000</v>
      </c>
      <c r="I24" s="404">
        <f>I35+SUM(I25,I26,I27,I28,I29,I30)</f>
        <v>25000</v>
      </c>
      <c r="J24" s="404">
        <f>J35+SUM(J25,J26,J27,J28,J29,J30)</f>
        <v>25000</v>
      </c>
      <c r="K24" s="404">
        <f>K35+SUM(K25,K26,K27,K28,K29,K30)</f>
        <v>22485.36</v>
      </c>
      <c r="L24" s="405">
        <f t="shared" si="4"/>
        <v>89.94144</v>
      </c>
    </row>
    <row r="25" spans="1:12" ht="12.75">
      <c r="A25" s="357">
        <v>19</v>
      </c>
      <c r="B25" s="529"/>
      <c r="C25" s="460" t="s">
        <v>163</v>
      </c>
      <c r="D25" s="447">
        <v>1</v>
      </c>
      <c r="E25" s="448" t="s">
        <v>164</v>
      </c>
      <c r="F25" s="449"/>
      <c r="G25" s="450"/>
      <c r="H25" s="418">
        <f>výdavky!M246</f>
        <v>5000</v>
      </c>
      <c r="I25" s="418">
        <f>výdavky!P246</f>
        <v>5000</v>
      </c>
      <c r="J25" s="418">
        <f>výdavky!T246</f>
        <v>5000</v>
      </c>
      <c r="K25" s="418">
        <f>výdavky!V246</f>
        <v>4752.19</v>
      </c>
      <c r="L25" s="419">
        <f t="shared" si="4"/>
        <v>95.04379999999999</v>
      </c>
    </row>
    <row r="26" spans="1:12" ht="12.75">
      <c r="A26" s="357">
        <v>20</v>
      </c>
      <c r="B26" s="529"/>
      <c r="C26" s="460" t="s">
        <v>165</v>
      </c>
      <c r="D26" s="447">
        <v>2</v>
      </c>
      <c r="E26" s="448" t="s">
        <v>166</v>
      </c>
      <c r="F26" s="449"/>
      <c r="G26" s="450"/>
      <c r="H26" s="418">
        <f>výdavky!M247</f>
        <v>1500</v>
      </c>
      <c r="I26" s="418">
        <f>výdavky!P247</f>
        <v>1500</v>
      </c>
      <c r="J26" s="418">
        <f>výdavky!T247</f>
        <v>1500</v>
      </c>
      <c r="K26" s="418">
        <f>výdavky!V247</f>
        <v>1807.38</v>
      </c>
      <c r="L26" s="419">
        <f t="shared" si="4"/>
        <v>120.492</v>
      </c>
    </row>
    <row r="27" spans="1:12" ht="12.75">
      <c r="A27" s="357">
        <v>21</v>
      </c>
      <c r="B27" s="529"/>
      <c r="C27" s="460" t="s">
        <v>169</v>
      </c>
      <c r="D27" s="447">
        <v>3</v>
      </c>
      <c r="E27" s="448" t="s">
        <v>170</v>
      </c>
      <c r="F27" s="449"/>
      <c r="G27" s="450"/>
      <c r="H27" s="418">
        <f>výdavky!M248</f>
        <v>7000</v>
      </c>
      <c r="I27" s="418">
        <f>výdavky!P248</f>
        <v>7000</v>
      </c>
      <c r="J27" s="418">
        <f>výdavky!T248</f>
        <v>5500</v>
      </c>
      <c r="K27" s="418">
        <f>výdavky!V248</f>
        <v>4480.36</v>
      </c>
      <c r="L27" s="419">
        <f t="shared" si="4"/>
        <v>81.4610909090909</v>
      </c>
    </row>
    <row r="28" spans="1:12" ht="12.75">
      <c r="A28" s="357">
        <v>22</v>
      </c>
      <c r="B28" s="529"/>
      <c r="C28" s="460" t="s">
        <v>171</v>
      </c>
      <c r="D28" s="447">
        <v>4</v>
      </c>
      <c r="E28" s="448" t="s">
        <v>172</v>
      </c>
      <c r="F28" s="449"/>
      <c r="G28" s="450"/>
      <c r="H28" s="418">
        <v>0</v>
      </c>
      <c r="I28" s="418">
        <v>0</v>
      </c>
      <c r="J28" s="418">
        <v>0</v>
      </c>
      <c r="K28" s="418">
        <v>0</v>
      </c>
      <c r="L28" s="419">
        <v>0</v>
      </c>
    </row>
    <row r="29" spans="1:12" ht="12.75">
      <c r="A29" s="357">
        <v>23</v>
      </c>
      <c r="B29" s="529"/>
      <c r="C29" s="460" t="s">
        <v>173</v>
      </c>
      <c r="D29" s="447">
        <v>5</v>
      </c>
      <c r="E29" s="448" t="s">
        <v>174</v>
      </c>
      <c r="F29" s="449"/>
      <c r="G29" s="450"/>
      <c r="H29" s="418">
        <f>výdavky!M250</f>
        <v>8000</v>
      </c>
      <c r="I29" s="418">
        <f>výdavky!P250</f>
        <v>8000</v>
      </c>
      <c r="J29" s="418">
        <f>výdavky!T250</f>
        <v>9500</v>
      </c>
      <c r="K29" s="418">
        <f>výdavky!V250</f>
        <v>10120.51</v>
      </c>
      <c r="L29" s="419">
        <f>K29/J29*100</f>
        <v>106.53168421052632</v>
      </c>
    </row>
    <row r="30" spans="1:12" ht="12.75">
      <c r="A30" s="357">
        <v>24</v>
      </c>
      <c r="B30" s="529"/>
      <c r="C30" s="460" t="s">
        <v>179</v>
      </c>
      <c r="D30" s="447">
        <v>6</v>
      </c>
      <c r="E30" s="448" t="s">
        <v>293</v>
      </c>
      <c r="F30" s="449"/>
      <c r="G30" s="450"/>
      <c r="H30" s="418">
        <f>výdavky!M255</f>
        <v>3500</v>
      </c>
      <c r="I30" s="418">
        <f>výdavky!P255</f>
        <v>3500</v>
      </c>
      <c r="J30" s="418">
        <f>výdavky!T255</f>
        <v>3500</v>
      </c>
      <c r="K30" s="418">
        <f>výdavky!V255+výdavky!V254</f>
        <v>1324.92</v>
      </c>
      <c r="L30" s="419">
        <f>K30/J30*100</f>
        <v>37.85485714285714</v>
      </c>
    </row>
    <row r="31" spans="1:12" ht="12.75">
      <c r="A31" s="357">
        <v>25</v>
      </c>
      <c r="B31" s="529"/>
      <c r="C31" s="460"/>
      <c r="D31" s="1606" t="s">
        <v>156</v>
      </c>
      <c r="E31" s="1606"/>
      <c r="F31" s="616"/>
      <c r="G31" s="644"/>
      <c r="H31" s="618">
        <f>SUM(H32)</f>
        <v>0</v>
      </c>
      <c r="I31" s="618">
        <f>SUM(I32)</f>
        <v>0</v>
      </c>
      <c r="J31" s="618">
        <f>SUM(J32)</f>
        <v>0</v>
      </c>
      <c r="K31" s="618">
        <f>SUM(K32)</f>
        <v>0</v>
      </c>
      <c r="L31" s="397">
        <v>0</v>
      </c>
    </row>
    <row r="32" spans="1:12" ht="12.75">
      <c r="A32" s="357">
        <v>26</v>
      </c>
      <c r="B32" s="529"/>
      <c r="C32" s="643" t="s">
        <v>292</v>
      </c>
      <c r="D32" s="1607" t="s">
        <v>291</v>
      </c>
      <c r="E32" s="1607"/>
      <c r="F32" s="532"/>
      <c r="G32" s="441"/>
      <c r="H32" s="645">
        <f>SUM(H33,H34,H35)</f>
        <v>0</v>
      </c>
      <c r="I32" s="645">
        <f>SUM(I33,I34,I35)</f>
        <v>0</v>
      </c>
      <c r="J32" s="645">
        <f>SUM(J33,J34,J35)</f>
        <v>0</v>
      </c>
      <c r="K32" s="645">
        <f>SUM(K33,K34,K35)</f>
        <v>0</v>
      </c>
      <c r="L32" s="646">
        <v>0</v>
      </c>
    </row>
    <row r="33" spans="1:12" ht="12.75">
      <c r="A33" s="357">
        <v>27</v>
      </c>
      <c r="B33" s="529"/>
      <c r="C33" s="460" t="s">
        <v>269</v>
      </c>
      <c r="D33" s="447">
        <v>7</v>
      </c>
      <c r="E33" s="448" t="s">
        <v>294</v>
      </c>
      <c r="F33" s="416"/>
      <c r="G33" s="647"/>
      <c r="H33" s="418">
        <v>0</v>
      </c>
      <c r="I33" s="418">
        <v>0</v>
      </c>
      <c r="J33" s="418">
        <v>0</v>
      </c>
      <c r="K33" s="418">
        <v>0</v>
      </c>
      <c r="L33" s="419">
        <v>0</v>
      </c>
    </row>
    <row r="34" spans="1:12" ht="12.75">
      <c r="A34" s="357">
        <v>28</v>
      </c>
      <c r="B34" s="529"/>
      <c r="C34" s="460"/>
      <c r="D34" s="447"/>
      <c r="E34" s="448"/>
      <c r="F34" s="449"/>
      <c r="G34" s="450"/>
      <c r="H34" s="418"/>
      <c r="I34" s="418"/>
      <c r="J34" s="418"/>
      <c r="K34" s="418"/>
      <c r="L34" s="419"/>
    </row>
    <row r="35" spans="1:12" s="437" customFormat="1" ht="12.75">
      <c r="A35" s="493">
        <v>29</v>
      </c>
      <c r="B35" s="648"/>
      <c r="C35" s="536"/>
      <c r="D35" s="496"/>
      <c r="E35" s="649"/>
      <c r="F35" s="539"/>
      <c r="G35" s="638">
        <v>78.1</v>
      </c>
      <c r="H35" s="542"/>
      <c r="I35" s="542"/>
      <c r="J35" s="542"/>
      <c r="K35" s="542"/>
      <c r="L35" s="543"/>
    </row>
  </sheetData>
  <mergeCells count="5">
    <mergeCell ref="D32:E32"/>
    <mergeCell ref="H3:J3"/>
    <mergeCell ref="K3:L3"/>
    <mergeCell ref="D4:F6"/>
    <mergeCell ref="D31:E31"/>
  </mergeCells>
  <printOptions/>
  <pageMargins left="0.7875" right="0.19652777777777777" top="0.7875" bottom="0.7875" header="0.5118055555555556" footer="0.5118055555555556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K13" sqref="K13"/>
    </sheetView>
  </sheetViews>
  <sheetFormatPr defaultColWidth="9.00390625" defaultRowHeight="12.75"/>
  <cols>
    <col min="1" max="1" width="3.625" style="316" customWidth="1"/>
    <col min="2" max="2" width="4.125" style="317" customWidth="1"/>
    <col min="3" max="3" width="7.625" style="318" customWidth="1"/>
    <col min="4" max="4" width="3.375" style="318" customWidth="1"/>
    <col min="5" max="5" width="31.375" style="318" customWidth="1"/>
    <col min="6" max="6" width="9.875" style="318" customWidth="1"/>
    <col min="7" max="7" width="0" style="318" hidden="1" customWidth="1"/>
    <col min="8" max="9" width="9.125" style="318" customWidth="1"/>
    <col min="10" max="12" width="9.75390625" style="318" customWidth="1"/>
    <col min="13" max="16384" width="9.125" style="318" customWidth="1"/>
  </cols>
  <sheetData>
    <row r="1" spans="2:12" ht="15.75">
      <c r="B1" s="322" t="s">
        <v>295</v>
      </c>
      <c r="E1" s="322" t="s">
        <v>296</v>
      </c>
      <c r="F1" s="320"/>
      <c r="G1" s="502" t="e">
        <f>G2-G7</f>
        <v>#N/A</v>
      </c>
      <c r="H1" s="502"/>
      <c r="I1" s="502"/>
      <c r="J1" s="503">
        <f>J2-J7</f>
        <v>0</v>
      </c>
      <c r="K1" s="503">
        <f>K2-K7</f>
        <v>0</v>
      </c>
      <c r="L1" s="503">
        <f>L2-L7</f>
        <v>94.89106675506602</v>
      </c>
    </row>
    <row r="2" spans="2:12" ht="16.5" thickBot="1">
      <c r="B2" s="322"/>
      <c r="G2" s="504" t="e">
        <f>SUM(G8:G10)</f>
        <v>#N/A</v>
      </c>
      <c r="H2" s="504"/>
      <c r="I2" s="504"/>
      <c r="J2" s="330">
        <f>SUM(J8:J10)</f>
        <v>185361.32</v>
      </c>
      <c r="K2" s="330">
        <f>SUM(K8:K10)</f>
        <v>179435.86</v>
      </c>
      <c r="L2" s="330">
        <f>SUM(L8:L10)</f>
        <v>191.69435883347805</v>
      </c>
    </row>
    <row r="3" spans="1:12" ht="16.5" thickBot="1">
      <c r="A3" s="331"/>
      <c r="B3" s="332"/>
      <c r="C3" s="333"/>
      <c r="D3" s="333"/>
      <c r="E3" s="334"/>
      <c r="F3" s="335"/>
      <c r="G3" s="336" t="s">
        <v>137</v>
      </c>
      <c r="H3" s="1598" t="s">
        <v>138</v>
      </c>
      <c r="I3" s="1599"/>
      <c r="J3" s="1600"/>
      <c r="K3" s="1601" t="s">
        <v>139</v>
      </c>
      <c r="L3" s="1602"/>
    </row>
    <row r="4" spans="1:12" ht="11.25" customHeight="1" thickBot="1">
      <c r="A4" s="337"/>
      <c r="B4" s="338" t="s">
        <v>140</v>
      </c>
      <c r="C4" s="339" t="s">
        <v>141</v>
      </c>
      <c r="D4" s="1604" t="s">
        <v>142</v>
      </c>
      <c r="E4" s="1604"/>
      <c r="F4" s="1604"/>
      <c r="G4" s="340"/>
      <c r="H4" s="341">
        <v>2012</v>
      </c>
      <c r="I4" s="341" t="s">
        <v>143</v>
      </c>
      <c r="J4" s="341" t="s">
        <v>144</v>
      </c>
      <c r="K4" s="342">
        <v>2012</v>
      </c>
      <c r="L4" s="342" t="s">
        <v>15</v>
      </c>
    </row>
    <row r="5" spans="1:12" ht="15" customHeight="1" thickBot="1">
      <c r="A5" s="337"/>
      <c r="B5" s="338" t="s">
        <v>145</v>
      </c>
      <c r="C5" s="339" t="s">
        <v>146</v>
      </c>
      <c r="D5" s="1604"/>
      <c r="E5" s="1604"/>
      <c r="F5" s="1604"/>
      <c r="G5" s="343" t="s">
        <v>147</v>
      </c>
      <c r="H5" s="344" t="s">
        <v>148</v>
      </c>
      <c r="I5" s="344" t="s">
        <v>148</v>
      </c>
      <c r="J5" s="1495" t="s">
        <v>148</v>
      </c>
      <c r="K5" s="345" t="s">
        <v>149</v>
      </c>
      <c r="L5" s="345"/>
    </row>
    <row r="6" spans="1:12" ht="13.5" thickBot="1">
      <c r="A6" s="505"/>
      <c r="B6" s="506" t="s">
        <v>150</v>
      </c>
      <c r="C6" s="507" t="s">
        <v>151</v>
      </c>
      <c r="D6" s="1604"/>
      <c r="E6" s="1604"/>
      <c r="F6" s="1604"/>
      <c r="G6" s="508">
        <v>1</v>
      </c>
      <c r="H6" s="346">
        <v>1</v>
      </c>
      <c r="I6" s="346">
        <v>2</v>
      </c>
      <c r="J6" s="1496">
        <v>3</v>
      </c>
      <c r="K6" s="348">
        <v>4</v>
      </c>
      <c r="L6" s="348">
        <v>5</v>
      </c>
    </row>
    <row r="7" spans="1:12" ht="15">
      <c r="A7" s="357">
        <v>1</v>
      </c>
      <c r="B7" s="509" t="s">
        <v>295</v>
      </c>
      <c r="C7" s="510"/>
      <c r="D7" s="511"/>
      <c r="E7" s="512" t="s">
        <v>296</v>
      </c>
      <c r="F7" s="513"/>
      <c r="G7" s="514" t="e">
        <f>G11+G23</f>
        <v>#N/A</v>
      </c>
      <c r="H7" s="355">
        <f>SUM(H8:H10)</f>
        <v>302008</v>
      </c>
      <c r="I7" s="355">
        <f>SUM(I8:I10)</f>
        <v>237988</v>
      </c>
      <c r="J7" s="515">
        <f>SUM(J8:J10)</f>
        <v>185361.32</v>
      </c>
      <c r="K7" s="355">
        <f>SUM(K8:K10)</f>
        <v>179435.86</v>
      </c>
      <c r="L7" s="356">
        <f>K7/J7*100</f>
        <v>96.80329207841203</v>
      </c>
    </row>
    <row r="8" spans="1:12" ht="12.75">
      <c r="A8" s="357">
        <f aca="true" t="shared" si="0" ref="A8:A17">A7+1</f>
        <v>2</v>
      </c>
      <c r="B8" s="516" t="s">
        <v>153</v>
      </c>
      <c r="C8" s="359" t="s">
        <v>154</v>
      </c>
      <c r="D8" s="360"/>
      <c r="E8" s="361"/>
      <c r="F8" s="362"/>
      <c r="G8" s="517" t="e">
        <f>G12+G24</f>
        <v>#N/A</v>
      </c>
      <c r="H8" s="519">
        <f>SUM(H12+H24)</f>
        <v>19150</v>
      </c>
      <c r="I8" s="519">
        <f>SUM(I12+I24)</f>
        <v>19150</v>
      </c>
      <c r="J8" s="518">
        <f>SUM(J12+J24)</f>
        <v>37907.270000000004</v>
      </c>
      <c r="K8" s="519">
        <f>SUM(K12+K24)</f>
        <v>35719.78</v>
      </c>
      <c r="L8" s="365">
        <f>K8/J8*100</f>
        <v>94.22936550165706</v>
      </c>
    </row>
    <row r="9" spans="1:12" ht="12.75">
      <c r="A9" s="357">
        <f t="shared" si="0"/>
        <v>3</v>
      </c>
      <c r="B9" s="516" t="s">
        <v>155</v>
      </c>
      <c r="C9" s="359" t="s">
        <v>156</v>
      </c>
      <c r="D9" s="360"/>
      <c r="E9" s="361"/>
      <c r="F9" s="362"/>
      <c r="G9" s="517" t="str">
        <f>"$#REF!$#REF!"</f>
        <v>$#REF!$#REF!</v>
      </c>
      <c r="H9" s="519">
        <f>H18+H30</f>
        <v>282858</v>
      </c>
      <c r="I9" s="519">
        <f>I18+I30</f>
        <v>218838</v>
      </c>
      <c r="J9" s="519">
        <f>J18+J30</f>
        <v>147454.05</v>
      </c>
      <c r="K9" s="519">
        <f>K18+K30</f>
        <v>143716.08</v>
      </c>
      <c r="L9" s="365">
        <f>K9/J9*100</f>
        <v>97.46499333182099</v>
      </c>
    </row>
    <row r="10" spans="1:12" ht="12.75">
      <c r="A10" s="357">
        <f t="shared" si="0"/>
        <v>4</v>
      </c>
      <c r="B10" s="521"/>
      <c r="C10" s="367" t="s">
        <v>157</v>
      </c>
      <c r="D10" s="368"/>
      <c r="E10" s="369"/>
      <c r="F10" s="370"/>
      <c r="G10" s="522">
        <v>0</v>
      </c>
      <c r="H10" s="519">
        <v>0</v>
      </c>
      <c r="I10" s="519">
        <v>0</v>
      </c>
      <c r="J10" s="518">
        <v>0</v>
      </c>
      <c r="K10" s="519">
        <v>0</v>
      </c>
      <c r="L10" s="365">
        <v>0</v>
      </c>
    </row>
    <row r="11" spans="1:12" ht="12.75">
      <c r="A11" s="357">
        <f t="shared" si="0"/>
        <v>5</v>
      </c>
      <c r="B11" s="525">
        <v>1</v>
      </c>
      <c r="C11" s="486" t="s">
        <v>297</v>
      </c>
      <c r="D11" s="376"/>
      <c r="E11" s="376"/>
      <c r="F11" s="377"/>
      <c r="G11" s="378" t="e">
        <f>SUM(G13)+"$#REF!$#REF!"</f>
        <v>#N/A</v>
      </c>
      <c r="H11" s="379">
        <f>SUM(H12,H18)</f>
        <v>285858</v>
      </c>
      <c r="I11" s="379">
        <f>SUM(I12,I18)</f>
        <v>221838</v>
      </c>
      <c r="J11" s="379">
        <f>SUM(J12,J18)</f>
        <v>169711.31999999998</v>
      </c>
      <c r="K11" s="379">
        <f>SUM(K12,K18)</f>
        <v>165474.8</v>
      </c>
      <c r="L11" s="640">
        <f aca="true" t="shared" si="1" ref="L11:L20">K11/J11*100</f>
        <v>97.50369038435386</v>
      </c>
    </row>
    <row r="12" spans="1:12" s="437" customFormat="1" ht="12.75">
      <c r="A12" s="357">
        <f t="shared" si="0"/>
        <v>6</v>
      </c>
      <c r="B12" s="527"/>
      <c r="C12" s="392"/>
      <c r="D12" s="362" t="s">
        <v>154</v>
      </c>
      <c r="E12" s="393"/>
      <c r="F12" s="394"/>
      <c r="G12" s="395" t="e">
        <f>G13</f>
        <v>#N/A</v>
      </c>
      <c r="H12" s="396">
        <f>H13</f>
        <v>3000</v>
      </c>
      <c r="I12" s="396">
        <f>I13</f>
        <v>3000</v>
      </c>
      <c r="J12" s="396">
        <f>J13</f>
        <v>22257.27</v>
      </c>
      <c r="K12" s="396">
        <f>K13</f>
        <v>21758.719999999998</v>
      </c>
      <c r="L12" s="397">
        <f t="shared" si="1"/>
        <v>97.76005772495907</v>
      </c>
    </row>
    <row r="13" spans="1:12" ht="12.75">
      <c r="A13" s="357">
        <f t="shared" si="0"/>
        <v>7</v>
      </c>
      <c r="B13" s="529"/>
      <c r="C13" s="530" t="s">
        <v>298</v>
      </c>
      <c r="D13" s="439" t="s">
        <v>297</v>
      </c>
      <c r="E13" s="531"/>
      <c r="F13" s="532"/>
      <c r="G13" s="441" t="e">
        <f>NA()</f>
        <v>#N/A</v>
      </c>
      <c r="H13" s="404">
        <f>SUM(H14,H15,H16,H17)</f>
        <v>3000</v>
      </c>
      <c r="I13" s="404">
        <f>SUM(I14,I15,I16,I17)</f>
        <v>3000</v>
      </c>
      <c r="J13" s="404">
        <f>SUM(J14,J15,J16,J17)</f>
        <v>22257.27</v>
      </c>
      <c r="K13" s="404">
        <f>SUM(K14,K15,K16,K17)</f>
        <v>21758.719999999998</v>
      </c>
      <c r="L13" s="405">
        <f t="shared" si="1"/>
        <v>97.76005772495907</v>
      </c>
    </row>
    <row r="14" spans="1:12" ht="12.75">
      <c r="A14" s="357">
        <f t="shared" si="0"/>
        <v>8</v>
      </c>
      <c r="B14" s="529"/>
      <c r="C14" s="460" t="s">
        <v>163</v>
      </c>
      <c r="D14" s="461" t="s">
        <v>190</v>
      </c>
      <c r="E14" s="415" t="s">
        <v>164</v>
      </c>
      <c r="F14" s="449"/>
      <c r="G14" s="450"/>
      <c r="H14" s="418">
        <f>výdavky!M287</f>
        <v>0</v>
      </c>
      <c r="I14" s="418">
        <f>výdavky!P287</f>
        <v>0</v>
      </c>
      <c r="J14" s="418">
        <f>výdavky!T287</f>
        <v>1790.49</v>
      </c>
      <c r="K14" s="418">
        <f>výdavky!V287</f>
        <v>1790.49</v>
      </c>
      <c r="L14" s="419">
        <f t="shared" si="1"/>
        <v>100</v>
      </c>
    </row>
    <row r="15" spans="1:12" ht="12.75">
      <c r="A15" s="357">
        <f t="shared" si="0"/>
        <v>9</v>
      </c>
      <c r="B15" s="529"/>
      <c r="C15" s="460" t="s">
        <v>169</v>
      </c>
      <c r="D15" s="461" t="s">
        <v>192</v>
      </c>
      <c r="E15" s="415" t="s">
        <v>170</v>
      </c>
      <c r="F15" s="449"/>
      <c r="G15" s="450"/>
      <c r="H15" s="418">
        <f>výdavky!M288</f>
        <v>250</v>
      </c>
      <c r="I15" s="418">
        <f>výdavky!P288</f>
        <v>250</v>
      </c>
      <c r="J15" s="418">
        <f>výdavky!T288</f>
        <v>250</v>
      </c>
      <c r="K15" s="418">
        <f>výdavky!V288</f>
        <v>282.21</v>
      </c>
      <c r="L15" s="419">
        <f t="shared" si="1"/>
        <v>112.88399999999999</v>
      </c>
    </row>
    <row r="16" spans="1:12" ht="12.75">
      <c r="A16" s="357">
        <f t="shared" si="0"/>
        <v>10</v>
      </c>
      <c r="B16" s="529"/>
      <c r="C16" s="460" t="s">
        <v>179</v>
      </c>
      <c r="D16" s="461" t="s">
        <v>203</v>
      </c>
      <c r="E16" s="415" t="s">
        <v>180</v>
      </c>
      <c r="F16" s="449"/>
      <c r="G16" s="450"/>
      <c r="H16" s="418">
        <f>výdavky!M289</f>
        <v>2750</v>
      </c>
      <c r="I16" s="418">
        <f>výdavky!P289</f>
        <v>2750</v>
      </c>
      <c r="J16" s="418">
        <f>výdavky!T289</f>
        <v>12500</v>
      </c>
      <c r="K16" s="418">
        <f>výdavky!V289</f>
        <v>11969.24</v>
      </c>
      <c r="L16" s="419">
        <f t="shared" si="1"/>
        <v>95.75392000000001</v>
      </c>
    </row>
    <row r="17" spans="1:12" ht="12.75">
      <c r="A17" s="357">
        <f t="shared" si="0"/>
        <v>11</v>
      </c>
      <c r="B17" s="529"/>
      <c r="C17" s="460" t="s">
        <v>179</v>
      </c>
      <c r="D17" s="461" t="s">
        <v>205</v>
      </c>
      <c r="E17" s="650" t="s">
        <v>299</v>
      </c>
      <c r="F17" s="651"/>
      <c r="G17" s="652"/>
      <c r="H17" s="418">
        <v>0</v>
      </c>
      <c r="I17" s="418">
        <v>0</v>
      </c>
      <c r="J17" s="418">
        <f>výdavky!T290</f>
        <v>7716.78</v>
      </c>
      <c r="K17" s="418">
        <f>výdavky!V290</f>
        <v>7716.78</v>
      </c>
      <c r="L17" s="419">
        <f t="shared" si="1"/>
        <v>100</v>
      </c>
    </row>
    <row r="18" spans="1:12" ht="12.75">
      <c r="A18" s="357">
        <v>12</v>
      </c>
      <c r="B18" s="398"/>
      <c r="C18" s="462"/>
      <c r="D18" s="362" t="s">
        <v>156</v>
      </c>
      <c r="E18" s="427"/>
      <c r="F18" s="394"/>
      <c r="G18" s="395">
        <f>G20</f>
        <v>0</v>
      </c>
      <c r="H18" s="396">
        <f>H19</f>
        <v>282858</v>
      </c>
      <c r="I18" s="396">
        <f>I19</f>
        <v>218838</v>
      </c>
      <c r="J18" s="396">
        <f>J19</f>
        <v>147454.05</v>
      </c>
      <c r="K18" s="396">
        <f>K19</f>
        <v>143716.08</v>
      </c>
      <c r="L18" s="397">
        <f t="shared" si="1"/>
        <v>97.46499333182099</v>
      </c>
    </row>
    <row r="19" spans="1:12" ht="12.75">
      <c r="A19" s="357">
        <f>A18+1</f>
        <v>13</v>
      </c>
      <c r="B19" s="398"/>
      <c r="C19" s="399" t="s">
        <v>298</v>
      </c>
      <c r="D19" s="400" t="s">
        <v>297</v>
      </c>
      <c r="E19" s="401"/>
      <c r="F19" s="402"/>
      <c r="G19" s="403">
        <f>SUM(G20:G25)</f>
        <v>234.29999999999998</v>
      </c>
      <c r="H19" s="404">
        <f>SUM(H20,H21,H22)</f>
        <v>282858</v>
      </c>
      <c r="I19" s="404">
        <f>SUM(I20,I21,I22)</f>
        <v>218838</v>
      </c>
      <c r="J19" s="404">
        <f>SUM(J20,J21,J22)</f>
        <v>147454.05</v>
      </c>
      <c r="K19" s="404">
        <f>SUM(K20,K21,K22)</f>
        <v>143716.08</v>
      </c>
      <c r="L19" s="405">
        <f t="shared" si="1"/>
        <v>97.46499333182099</v>
      </c>
    </row>
    <row r="20" spans="1:12" ht="12.75">
      <c r="A20" s="357">
        <f>A19+1</f>
        <v>14</v>
      </c>
      <c r="B20" s="529"/>
      <c r="C20" s="460" t="s">
        <v>300</v>
      </c>
      <c r="D20" s="461" t="s">
        <v>207</v>
      </c>
      <c r="E20" s="563" t="s">
        <v>301</v>
      </c>
      <c r="F20" s="428"/>
      <c r="G20" s="429"/>
      <c r="H20" s="418">
        <f>výdavky!M526</f>
        <v>4500</v>
      </c>
      <c r="I20" s="418">
        <f>výdavky!P526</f>
        <v>4500</v>
      </c>
      <c r="J20" s="418">
        <f>výdavky!T526</f>
        <v>4500</v>
      </c>
      <c r="K20" s="418">
        <f>výdavky!V526</f>
        <v>3600</v>
      </c>
      <c r="L20" s="419">
        <f t="shared" si="1"/>
        <v>80</v>
      </c>
    </row>
    <row r="21" spans="1:12" ht="12.75">
      <c r="A21" s="357"/>
      <c r="B21" s="529"/>
      <c r="C21" s="460"/>
      <c r="D21" s="461" t="s">
        <v>211</v>
      </c>
      <c r="E21" s="563" t="s">
        <v>111</v>
      </c>
      <c r="F21" s="428"/>
      <c r="G21" s="429"/>
      <c r="H21" s="418">
        <f>výdavky!M528</f>
        <v>50000</v>
      </c>
      <c r="I21" s="418">
        <f>výdavky!P528</f>
        <v>50000</v>
      </c>
      <c r="J21" s="418">
        <v>0</v>
      </c>
      <c r="K21" s="418">
        <f>výdavky!V528</f>
        <v>0</v>
      </c>
      <c r="L21" s="419">
        <v>0</v>
      </c>
    </row>
    <row r="22" spans="1:12" ht="12.75">
      <c r="A22" s="357">
        <f>A20+1</f>
        <v>15</v>
      </c>
      <c r="B22" s="529"/>
      <c r="C22" s="460" t="s">
        <v>302</v>
      </c>
      <c r="D22" s="461" t="s">
        <v>214</v>
      </c>
      <c r="E22" s="563" t="s">
        <v>303</v>
      </c>
      <c r="F22" s="428"/>
      <c r="G22" s="429"/>
      <c r="H22" s="418">
        <f>výdavky!M529+výdavky!M531</f>
        <v>228358</v>
      </c>
      <c r="I22" s="418">
        <f>výdavky!P529+výdavky!P531</f>
        <v>164338</v>
      </c>
      <c r="J22" s="418">
        <f>výdavky!T529</f>
        <v>142954.05</v>
      </c>
      <c r="K22" s="418">
        <f>výdavky!V529</f>
        <v>140116.08</v>
      </c>
      <c r="L22" s="419">
        <f>K22/J22*100</f>
        <v>98.01476768234268</v>
      </c>
    </row>
    <row r="23" spans="1:12" ht="12.75">
      <c r="A23" s="357">
        <f>A22+1</f>
        <v>16</v>
      </c>
      <c r="B23" s="525">
        <v>2</v>
      </c>
      <c r="C23" s="641" t="s">
        <v>304</v>
      </c>
      <c r="D23" s="376"/>
      <c r="E23" s="376"/>
      <c r="F23" s="377"/>
      <c r="G23" s="378">
        <f>SUM(G25)</f>
        <v>78.1</v>
      </c>
      <c r="H23" s="380">
        <f aca="true" t="shared" si="2" ref="H23:K24">H24</f>
        <v>16150</v>
      </c>
      <c r="I23" s="380">
        <f t="shared" si="2"/>
        <v>16150</v>
      </c>
      <c r="J23" s="380">
        <f t="shared" si="2"/>
        <v>15650</v>
      </c>
      <c r="K23" s="380">
        <f t="shared" si="2"/>
        <v>13961.06</v>
      </c>
      <c r="L23" s="381">
        <f>K23/J23*100</f>
        <v>89.20805111821086</v>
      </c>
    </row>
    <row r="24" spans="1:12" s="437" customFormat="1" ht="12.75">
      <c r="A24" s="357">
        <f>A23+1</f>
        <v>17</v>
      </c>
      <c r="B24" s="527"/>
      <c r="C24" s="642"/>
      <c r="D24" s="362" t="s">
        <v>154</v>
      </c>
      <c r="E24" s="393"/>
      <c r="F24" s="394"/>
      <c r="G24" s="395">
        <f>G25</f>
        <v>78.1</v>
      </c>
      <c r="H24" s="396">
        <f t="shared" si="2"/>
        <v>16150</v>
      </c>
      <c r="I24" s="396">
        <f t="shared" si="2"/>
        <v>16150</v>
      </c>
      <c r="J24" s="396">
        <f t="shared" si="2"/>
        <v>15650</v>
      </c>
      <c r="K24" s="396">
        <f t="shared" si="2"/>
        <v>13961.06</v>
      </c>
      <c r="L24" s="397">
        <f>K24/J24*100</f>
        <v>89.20805111821086</v>
      </c>
    </row>
    <row r="25" spans="1:12" ht="12.75">
      <c r="A25" s="357">
        <f>A24+1</f>
        <v>18</v>
      </c>
      <c r="B25" s="529"/>
      <c r="C25" s="643" t="s">
        <v>305</v>
      </c>
      <c r="D25" s="439" t="s">
        <v>304</v>
      </c>
      <c r="E25" s="531"/>
      <c r="F25" s="532"/>
      <c r="G25" s="441">
        <f>G34</f>
        <v>78.1</v>
      </c>
      <c r="H25" s="404">
        <f>H34+SUM(H26,H27,H28,H29)</f>
        <v>16150</v>
      </c>
      <c r="I25" s="404">
        <f>I34+SUM(I26,I27,I28,I29)</f>
        <v>16150</v>
      </c>
      <c r="J25" s="404">
        <f>J34+SUM(J26,J27,J28,J29)</f>
        <v>15650</v>
      </c>
      <c r="K25" s="404">
        <f>K34+SUM(K26,K27,K28,K29)</f>
        <v>13961.06</v>
      </c>
      <c r="L25" s="405">
        <f>K25/J25*100</f>
        <v>89.20805111821086</v>
      </c>
    </row>
    <row r="26" spans="1:12" ht="12.75">
      <c r="A26" s="357">
        <v>19</v>
      </c>
      <c r="B26" s="529"/>
      <c r="C26" s="460" t="s">
        <v>169</v>
      </c>
      <c r="D26" s="447">
        <v>1</v>
      </c>
      <c r="E26" s="448" t="s">
        <v>170</v>
      </c>
      <c r="F26" s="449"/>
      <c r="G26" s="450"/>
      <c r="H26" s="418">
        <f>výdavky!M293</f>
        <v>15000</v>
      </c>
      <c r="I26" s="418">
        <f>výdavky!P293</f>
        <v>15000</v>
      </c>
      <c r="J26" s="418">
        <f>výdavky!T293</f>
        <v>15000</v>
      </c>
      <c r="K26" s="418">
        <f>výdavky!V293</f>
        <v>13451.8</v>
      </c>
      <c r="L26" s="419">
        <f>K26/J25*100</f>
        <v>85.95399361022363</v>
      </c>
    </row>
    <row r="27" spans="1:12" ht="12.75">
      <c r="A27" s="357">
        <v>20</v>
      </c>
      <c r="B27" s="529"/>
      <c r="C27" s="460" t="s">
        <v>171</v>
      </c>
      <c r="D27" s="447">
        <v>2</v>
      </c>
      <c r="E27" s="448" t="s">
        <v>172</v>
      </c>
      <c r="F27" s="449"/>
      <c r="G27" s="450"/>
      <c r="H27" s="418">
        <f>výdavky!M294</f>
        <v>150</v>
      </c>
      <c r="I27" s="418">
        <f>výdavky!P294</f>
        <v>150</v>
      </c>
      <c r="J27" s="418">
        <f>výdavky!T294</f>
        <v>150</v>
      </c>
      <c r="K27" s="418">
        <f>výdavky!V294</f>
        <v>59.02</v>
      </c>
      <c r="L27" s="419">
        <f>K27/J27*100</f>
        <v>39.34666666666667</v>
      </c>
    </row>
    <row r="28" spans="1:12" ht="12.75">
      <c r="A28" s="357">
        <v>21</v>
      </c>
      <c r="B28" s="529"/>
      <c r="C28" s="460" t="s">
        <v>175</v>
      </c>
      <c r="D28" s="447">
        <v>3</v>
      </c>
      <c r="E28" s="448" t="s">
        <v>255</v>
      </c>
      <c r="F28" s="449"/>
      <c r="G28" s="450"/>
      <c r="H28" s="418">
        <f>výdavky!M295</f>
        <v>1000</v>
      </c>
      <c r="I28" s="418">
        <f>výdavky!P295</f>
        <v>1000</v>
      </c>
      <c r="J28" s="418">
        <f>výdavky!T295</f>
        <v>500</v>
      </c>
      <c r="K28" s="418">
        <f>výdavky!V295</f>
        <v>450.24</v>
      </c>
      <c r="L28" s="419">
        <f>K28/J28*100</f>
        <v>90.048</v>
      </c>
    </row>
    <row r="29" spans="1:12" ht="12.75">
      <c r="A29" s="357">
        <v>22</v>
      </c>
      <c r="B29" s="529"/>
      <c r="C29" s="460" t="s">
        <v>179</v>
      </c>
      <c r="D29" s="447">
        <v>4</v>
      </c>
      <c r="E29" s="448" t="s">
        <v>180</v>
      </c>
      <c r="F29" s="449"/>
      <c r="G29" s="450"/>
      <c r="H29" s="418">
        <v>0</v>
      </c>
      <c r="I29" s="418">
        <v>0</v>
      </c>
      <c r="J29" s="418">
        <v>0</v>
      </c>
      <c r="K29" s="418">
        <f>výdavky!V296</f>
        <v>0</v>
      </c>
      <c r="L29" s="419">
        <v>0</v>
      </c>
    </row>
    <row r="30" spans="1:12" ht="12.75">
      <c r="A30" s="357">
        <v>25</v>
      </c>
      <c r="B30" s="529"/>
      <c r="C30" s="460"/>
      <c r="D30" s="1606" t="s">
        <v>156</v>
      </c>
      <c r="E30" s="1606"/>
      <c r="F30" s="616"/>
      <c r="G30" s="644"/>
      <c r="H30" s="618">
        <f>SUM(H31)</f>
        <v>0</v>
      </c>
      <c r="I30" s="618">
        <f>SUM(I31)</f>
        <v>0</v>
      </c>
      <c r="J30" s="618">
        <f>SUM(J31)</f>
        <v>0</v>
      </c>
      <c r="K30" s="618">
        <f>SUM(K31)</f>
        <v>0</v>
      </c>
      <c r="L30" s="397">
        <f>SUM(L31)</f>
        <v>0</v>
      </c>
    </row>
    <row r="31" spans="1:12" ht="12.75">
      <c r="A31" s="357">
        <v>26</v>
      </c>
      <c r="B31" s="529"/>
      <c r="C31" s="643" t="s">
        <v>305</v>
      </c>
      <c r="D31" s="1607" t="s">
        <v>304</v>
      </c>
      <c r="E31" s="1607"/>
      <c r="F31" s="532"/>
      <c r="G31" s="441"/>
      <c r="H31" s="645">
        <f>SUM(H32,H33,H34)</f>
        <v>0</v>
      </c>
      <c r="I31" s="645">
        <f>SUM(I32,I33,I34)</f>
        <v>0</v>
      </c>
      <c r="J31" s="645">
        <f>SUM(J32,J33,J34)</f>
        <v>0</v>
      </c>
      <c r="K31" s="645">
        <f>SUM(K32,K33,K34)</f>
        <v>0</v>
      </c>
      <c r="L31" s="646">
        <f>SUM(L32,L33,L34)</f>
        <v>0</v>
      </c>
    </row>
    <row r="32" spans="1:12" ht="12.75">
      <c r="A32" s="357">
        <v>27</v>
      </c>
      <c r="B32" s="529"/>
      <c r="C32" s="460" t="s">
        <v>269</v>
      </c>
      <c r="D32" s="447">
        <v>7</v>
      </c>
      <c r="E32" s="448" t="s">
        <v>306</v>
      </c>
      <c r="F32" s="416"/>
      <c r="G32" s="647"/>
      <c r="H32" s="418">
        <v>0</v>
      </c>
      <c r="I32" s="418">
        <v>0</v>
      </c>
      <c r="J32" s="418">
        <v>0</v>
      </c>
      <c r="K32" s="418">
        <v>0</v>
      </c>
      <c r="L32" s="419">
        <v>0</v>
      </c>
    </row>
    <row r="33" spans="1:12" ht="12.75">
      <c r="A33" s="357">
        <v>28</v>
      </c>
      <c r="B33" s="529"/>
      <c r="C33" s="460"/>
      <c r="D33" s="447"/>
      <c r="E33" s="448"/>
      <c r="F33" s="449"/>
      <c r="G33" s="450"/>
      <c r="H33" s="418">
        <v>0</v>
      </c>
      <c r="I33" s="418">
        <v>0</v>
      </c>
      <c r="J33" s="418">
        <v>0</v>
      </c>
      <c r="K33" s="418">
        <v>0</v>
      </c>
      <c r="L33" s="419">
        <v>0</v>
      </c>
    </row>
    <row r="34" spans="1:12" s="437" customFormat="1" ht="12.75">
      <c r="A34" s="493">
        <v>29</v>
      </c>
      <c r="B34" s="648"/>
      <c r="C34" s="536"/>
      <c r="D34" s="496"/>
      <c r="E34" s="649"/>
      <c r="F34" s="539"/>
      <c r="G34" s="638">
        <v>78.1</v>
      </c>
      <c r="H34" s="542">
        <v>0</v>
      </c>
      <c r="I34" s="542">
        <v>0</v>
      </c>
      <c r="J34" s="542">
        <v>0</v>
      </c>
      <c r="K34" s="542">
        <v>0</v>
      </c>
      <c r="L34" s="543">
        <v>0</v>
      </c>
    </row>
  </sheetData>
  <mergeCells count="5">
    <mergeCell ref="D31:E31"/>
    <mergeCell ref="H3:J3"/>
    <mergeCell ref="K3:L3"/>
    <mergeCell ref="D4:F6"/>
    <mergeCell ref="D30:E30"/>
  </mergeCells>
  <printOptions/>
  <pageMargins left="0.5902777777777778" right="0.19652777777777777" top="0.9840277777777778" bottom="0.9840277777777778" header="0.5118055555555556" footer="0.5118055555555556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I27" sqref="I27"/>
    </sheetView>
  </sheetViews>
  <sheetFormatPr defaultColWidth="9.00390625" defaultRowHeight="12.75"/>
  <cols>
    <col min="1" max="1" width="3.625" style="316" customWidth="1"/>
    <col min="2" max="2" width="4.125" style="317" customWidth="1"/>
    <col min="3" max="3" width="7.625" style="318" customWidth="1"/>
    <col min="4" max="4" width="3.375" style="318" customWidth="1"/>
    <col min="5" max="5" width="31.375" style="318" customWidth="1"/>
    <col min="6" max="6" width="9.875" style="318" customWidth="1"/>
    <col min="7" max="7" width="0" style="318" hidden="1" customWidth="1"/>
    <col min="8" max="12" width="8.25390625" style="318" customWidth="1"/>
    <col min="13" max="16384" width="9.125" style="318" customWidth="1"/>
  </cols>
  <sheetData>
    <row r="1" spans="2:12" ht="15.75">
      <c r="B1" s="322" t="s">
        <v>307</v>
      </c>
      <c r="E1" s="322" t="s">
        <v>308</v>
      </c>
      <c r="F1" s="320"/>
      <c r="G1" s="502" t="e">
        <f>G2-G7</f>
        <v>#N/A</v>
      </c>
      <c r="H1" s="502"/>
      <c r="I1" s="502"/>
      <c r="J1" s="503">
        <f>J2-J7</f>
        <v>0</v>
      </c>
      <c r="K1" s="503">
        <f>K2-K7</f>
        <v>0</v>
      </c>
      <c r="L1" s="503">
        <f>L2-L7</f>
        <v>0</v>
      </c>
    </row>
    <row r="2" spans="2:12" ht="16.5" thickBot="1">
      <c r="B2" s="322"/>
      <c r="G2" s="504" t="e">
        <f>SUM(G8:G10)</f>
        <v>#N/A</v>
      </c>
      <c r="H2" s="504"/>
      <c r="I2" s="504"/>
      <c r="J2" s="330">
        <f>SUM(J8:J10)</f>
        <v>16000</v>
      </c>
      <c r="K2" s="330">
        <f>SUM(K8:K10)</f>
        <v>17521.780000000002</v>
      </c>
      <c r="L2" s="330">
        <f>SUM(L8:L10)</f>
        <v>109.51112500000002</v>
      </c>
    </row>
    <row r="3" spans="1:12" ht="16.5" thickBot="1">
      <c r="A3" s="331"/>
      <c r="B3" s="332"/>
      <c r="C3" s="333"/>
      <c r="D3" s="333"/>
      <c r="E3" s="334"/>
      <c r="F3" s="335"/>
      <c r="G3" s="336" t="s">
        <v>137</v>
      </c>
      <c r="H3" s="1598" t="s">
        <v>138</v>
      </c>
      <c r="I3" s="1599"/>
      <c r="J3" s="1600"/>
      <c r="K3" s="1601" t="s">
        <v>139</v>
      </c>
      <c r="L3" s="1602"/>
    </row>
    <row r="4" spans="1:12" ht="11.25" customHeight="1" thickBot="1">
      <c r="A4" s="337"/>
      <c r="B4" s="338" t="s">
        <v>140</v>
      </c>
      <c r="C4" s="339" t="s">
        <v>141</v>
      </c>
      <c r="D4" s="1604" t="s">
        <v>142</v>
      </c>
      <c r="E4" s="1604"/>
      <c r="F4" s="1604"/>
      <c r="G4" s="340"/>
      <c r="H4" s="341">
        <v>2012</v>
      </c>
      <c r="I4" s="341" t="s">
        <v>143</v>
      </c>
      <c r="J4" s="341" t="s">
        <v>144</v>
      </c>
      <c r="K4" s="342">
        <v>2012</v>
      </c>
      <c r="L4" s="342" t="s">
        <v>15</v>
      </c>
    </row>
    <row r="5" spans="1:12" ht="15" customHeight="1" thickBot="1">
      <c r="A5" s="337"/>
      <c r="B5" s="338" t="s">
        <v>145</v>
      </c>
      <c r="C5" s="339" t="s">
        <v>146</v>
      </c>
      <c r="D5" s="1604"/>
      <c r="E5" s="1604"/>
      <c r="F5" s="1604"/>
      <c r="G5" s="343" t="s">
        <v>147</v>
      </c>
      <c r="H5" s="344" t="s">
        <v>148</v>
      </c>
      <c r="I5" s="344" t="s">
        <v>148</v>
      </c>
      <c r="J5" s="1495" t="s">
        <v>148</v>
      </c>
      <c r="K5" s="345" t="s">
        <v>149</v>
      </c>
      <c r="L5" s="345"/>
    </row>
    <row r="6" spans="1:12" ht="13.5" thickBot="1">
      <c r="A6" s="505"/>
      <c r="B6" s="506" t="s">
        <v>150</v>
      </c>
      <c r="C6" s="507" t="s">
        <v>151</v>
      </c>
      <c r="D6" s="1604"/>
      <c r="E6" s="1604"/>
      <c r="F6" s="1604"/>
      <c r="G6" s="508">
        <v>1</v>
      </c>
      <c r="H6" s="346">
        <v>1</v>
      </c>
      <c r="I6" s="346">
        <v>2</v>
      </c>
      <c r="J6" s="1496">
        <v>3</v>
      </c>
      <c r="K6" s="348">
        <v>4</v>
      </c>
      <c r="L6" s="348">
        <v>5</v>
      </c>
    </row>
    <row r="7" spans="1:12" ht="15">
      <c r="A7" s="357">
        <v>1</v>
      </c>
      <c r="B7" s="509" t="s">
        <v>307</v>
      </c>
      <c r="C7" s="510"/>
      <c r="D7" s="511"/>
      <c r="E7" s="512" t="s">
        <v>308</v>
      </c>
      <c r="F7" s="513"/>
      <c r="G7" s="514" t="e">
        <f>G11+"#REF!#REF!"</f>
        <v>#N/A</v>
      </c>
      <c r="H7" s="355">
        <f>SUM(H8:H10)</f>
        <v>31300</v>
      </c>
      <c r="I7" s="355">
        <f>SUM(I8:I10)</f>
        <v>18500</v>
      </c>
      <c r="J7" s="515">
        <f>SUM(J8:J10)</f>
        <v>16000</v>
      </c>
      <c r="K7" s="355">
        <f>SUM(K8:K10)</f>
        <v>17521.780000000002</v>
      </c>
      <c r="L7" s="356">
        <f>K7/J7*100</f>
        <v>109.51112500000002</v>
      </c>
    </row>
    <row r="8" spans="1:12" ht="12.75">
      <c r="A8" s="357">
        <f aca="true" t="shared" si="0" ref="A8:A14">A7+1</f>
        <v>2</v>
      </c>
      <c r="B8" s="516" t="s">
        <v>153</v>
      </c>
      <c r="C8" s="359" t="s">
        <v>154</v>
      </c>
      <c r="D8" s="360"/>
      <c r="E8" s="361"/>
      <c r="F8" s="362"/>
      <c r="G8" s="517" t="e">
        <f>G12+"#REF!#REF!"</f>
        <v>#N/A</v>
      </c>
      <c r="H8" s="519">
        <f>SUM(H12)</f>
        <v>31300</v>
      </c>
      <c r="I8" s="519">
        <f>SUM(I12)</f>
        <v>18500</v>
      </c>
      <c r="J8" s="518">
        <f>SUM(J12)</f>
        <v>16000</v>
      </c>
      <c r="K8" s="519">
        <f>SUM(K12)</f>
        <v>17521.780000000002</v>
      </c>
      <c r="L8" s="365">
        <f>K8/J8*100</f>
        <v>109.51112500000002</v>
      </c>
    </row>
    <row r="9" spans="1:12" ht="12.75">
      <c r="A9" s="357">
        <f t="shared" si="0"/>
        <v>3</v>
      </c>
      <c r="B9" s="516" t="s">
        <v>155</v>
      </c>
      <c r="C9" s="359" t="s">
        <v>156</v>
      </c>
      <c r="D9" s="360"/>
      <c r="E9" s="361"/>
      <c r="F9" s="362"/>
      <c r="G9" s="517" t="str">
        <f>"$#REF!$#REF!"</f>
        <v>$#REF!$#REF!</v>
      </c>
      <c r="H9" s="519">
        <f>H20</f>
        <v>0</v>
      </c>
      <c r="I9" s="519">
        <f>I20</f>
        <v>0</v>
      </c>
      <c r="J9" s="519">
        <f>J20</f>
        <v>0</v>
      </c>
      <c r="K9" s="519">
        <f>K20</f>
        <v>0</v>
      </c>
      <c r="L9" s="365">
        <v>0</v>
      </c>
    </row>
    <row r="10" spans="1:12" ht="12.75">
      <c r="A10" s="357">
        <f t="shared" si="0"/>
        <v>4</v>
      </c>
      <c r="B10" s="516"/>
      <c r="C10" s="359" t="s">
        <v>157</v>
      </c>
      <c r="D10" s="360"/>
      <c r="E10" s="361"/>
      <c r="F10" s="362"/>
      <c r="G10" s="517">
        <v>0</v>
      </c>
      <c r="H10" s="519">
        <v>0</v>
      </c>
      <c r="I10" s="519">
        <v>0</v>
      </c>
      <c r="J10" s="518">
        <v>0</v>
      </c>
      <c r="K10" s="519">
        <v>0</v>
      </c>
      <c r="L10" s="365">
        <v>0</v>
      </c>
    </row>
    <row r="11" spans="1:12" ht="12.75">
      <c r="A11" s="357">
        <f t="shared" si="0"/>
        <v>5</v>
      </c>
      <c r="B11" s="653">
        <v>1</v>
      </c>
      <c r="C11" s="654" t="s">
        <v>309</v>
      </c>
      <c r="D11" s="655"/>
      <c r="E11" s="655"/>
      <c r="F11" s="656"/>
      <c r="G11" s="657" t="e">
        <f>SUM(G13)+"$#REF!$#REF!"</f>
        <v>#N/A</v>
      </c>
      <c r="H11" s="379">
        <f aca="true" t="shared" si="1" ref="H11:K12">H12</f>
        <v>31300</v>
      </c>
      <c r="I11" s="379">
        <f t="shared" si="1"/>
        <v>18500</v>
      </c>
      <c r="J11" s="379">
        <f t="shared" si="1"/>
        <v>16000</v>
      </c>
      <c r="K11" s="379">
        <f t="shared" si="1"/>
        <v>17521.780000000002</v>
      </c>
      <c r="L11" s="640">
        <f aca="true" t="shared" si="2" ref="L11:L19">K11/J11*100</f>
        <v>109.51112500000002</v>
      </c>
    </row>
    <row r="12" spans="1:12" s="437" customFormat="1" ht="12.75">
      <c r="A12" s="357">
        <f t="shared" si="0"/>
        <v>6</v>
      </c>
      <c r="B12" s="527"/>
      <c r="C12" s="392"/>
      <c r="D12" s="362" t="s">
        <v>154</v>
      </c>
      <c r="E12" s="393"/>
      <c r="F12" s="394"/>
      <c r="G12" s="395" t="e">
        <f>G13</f>
        <v>#N/A</v>
      </c>
      <c r="H12" s="396">
        <f t="shared" si="1"/>
        <v>31300</v>
      </c>
      <c r="I12" s="396">
        <f t="shared" si="1"/>
        <v>18500</v>
      </c>
      <c r="J12" s="396">
        <f t="shared" si="1"/>
        <v>16000</v>
      </c>
      <c r="K12" s="396">
        <f t="shared" si="1"/>
        <v>17521.780000000002</v>
      </c>
      <c r="L12" s="397">
        <f t="shared" si="2"/>
        <v>109.51112500000002</v>
      </c>
    </row>
    <row r="13" spans="1:12" ht="12.75">
      <c r="A13" s="357">
        <f t="shared" si="0"/>
        <v>7</v>
      </c>
      <c r="B13" s="529"/>
      <c r="C13" s="530" t="s">
        <v>310</v>
      </c>
      <c r="D13" s="439" t="s">
        <v>311</v>
      </c>
      <c r="E13" s="531"/>
      <c r="F13" s="532"/>
      <c r="G13" s="441" t="e">
        <f>NA()</f>
        <v>#N/A</v>
      </c>
      <c r="H13" s="404">
        <f>SUM(H14,H15,H16,H17,H18,H19)</f>
        <v>31300</v>
      </c>
      <c r="I13" s="404">
        <f>SUM(I14,I15,I16,I17,I18,I19)</f>
        <v>18500</v>
      </c>
      <c r="J13" s="404">
        <f>SUM(J14,J15,J16,J17,J18,J19)</f>
        <v>16000</v>
      </c>
      <c r="K13" s="404">
        <f>SUM(K14,K15,K16,K17,K18,K19)</f>
        <v>17521.780000000002</v>
      </c>
      <c r="L13" s="405">
        <f t="shared" si="2"/>
        <v>109.51112500000002</v>
      </c>
    </row>
    <row r="14" spans="1:12" ht="12.75">
      <c r="A14" s="357">
        <f t="shared" si="0"/>
        <v>8</v>
      </c>
      <c r="B14" s="529"/>
      <c r="C14" s="460" t="s">
        <v>163</v>
      </c>
      <c r="D14" s="461" t="s">
        <v>190</v>
      </c>
      <c r="E14" s="415" t="s">
        <v>164</v>
      </c>
      <c r="F14" s="449"/>
      <c r="G14" s="450"/>
      <c r="H14" s="418">
        <f>výdavky!M312</f>
        <v>3000</v>
      </c>
      <c r="I14" s="418">
        <f>výdavky!P312</f>
        <v>3000</v>
      </c>
      <c r="J14" s="418">
        <f>výdavky!T312</f>
        <v>3000</v>
      </c>
      <c r="K14" s="418">
        <f>výdavky!V312</f>
        <v>3093.54</v>
      </c>
      <c r="L14" s="419">
        <f t="shared" si="2"/>
        <v>103.118</v>
      </c>
    </row>
    <row r="15" spans="1:12" ht="12.75">
      <c r="A15" s="357"/>
      <c r="B15" s="529"/>
      <c r="C15" s="460" t="s">
        <v>165</v>
      </c>
      <c r="D15" s="461" t="s">
        <v>192</v>
      </c>
      <c r="E15" s="415" t="s">
        <v>166</v>
      </c>
      <c r="F15" s="449"/>
      <c r="G15" s="450"/>
      <c r="H15" s="418">
        <f>výdavky!M313</f>
        <v>1500</v>
      </c>
      <c r="I15" s="418">
        <f>výdavky!P313</f>
        <v>1500</v>
      </c>
      <c r="J15" s="418">
        <f>výdavky!T313</f>
        <v>1500</v>
      </c>
      <c r="K15" s="418">
        <f>výdavky!V313</f>
        <v>1061.43</v>
      </c>
      <c r="L15" s="419">
        <f t="shared" si="2"/>
        <v>70.762</v>
      </c>
    </row>
    <row r="16" spans="1:12" ht="12.75">
      <c r="A16" s="357">
        <f>A14+1</f>
        <v>9</v>
      </c>
      <c r="B16" s="529"/>
      <c r="C16" s="460" t="s">
        <v>169</v>
      </c>
      <c r="D16" s="461" t="s">
        <v>203</v>
      </c>
      <c r="E16" s="415" t="s">
        <v>170</v>
      </c>
      <c r="F16" s="449"/>
      <c r="G16" s="450"/>
      <c r="H16" s="418">
        <f>výdavky!M314</f>
        <v>26000</v>
      </c>
      <c r="I16" s="418">
        <f>výdavky!P314</f>
        <v>13000</v>
      </c>
      <c r="J16" s="418">
        <f>výdavky!T314</f>
        <v>10500</v>
      </c>
      <c r="K16" s="418">
        <f>výdavky!V314</f>
        <v>12668.95</v>
      </c>
      <c r="L16" s="419">
        <f t="shared" si="2"/>
        <v>120.65666666666668</v>
      </c>
    </row>
    <row r="17" spans="1:12" ht="12.75">
      <c r="A17" s="357"/>
      <c r="B17" s="529"/>
      <c r="C17" s="460" t="s">
        <v>171</v>
      </c>
      <c r="D17" s="461" t="s">
        <v>205</v>
      </c>
      <c r="E17" s="415" t="s">
        <v>172</v>
      </c>
      <c r="F17" s="449"/>
      <c r="G17" s="450"/>
      <c r="H17" s="418">
        <f>výdavky!M315</f>
        <v>100</v>
      </c>
      <c r="I17" s="418">
        <f>výdavky!P315</f>
        <v>100</v>
      </c>
      <c r="J17" s="418">
        <f>výdavky!T315</f>
        <v>100</v>
      </c>
      <c r="K17" s="418">
        <f>výdavky!V315</f>
        <v>153.55</v>
      </c>
      <c r="L17" s="419">
        <f t="shared" si="2"/>
        <v>153.55</v>
      </c>
    </row>
    <row r="18" spans="1:12" ht="12.75">
      <c r="A18" s="357">
        <f>A16+1</f>
        <v>10</v>
      </c>
      <c r="B18" s="529"/>
      <c r="C18" s="460" t="s">
        <v>175</v>
      </c>
      <c r="D18" s="461" t="s">
        <v>207</v>
      </c>
      <c r="E18" s="415" t="s">
        <v>255</v>
      </c>
      <c r="F18" s="449"/>
      <c r="G18" s="450"/>
      <c r="H18" s="418">
        <f>výdavky!M316</f>
        <v>500</v>
      </c>
      <c r="I18" s="418">
        <f>výdavky!P316</f>
        <v>500</v>
      </c>
      <c r="J18" s="418">
        <f>výdavky!T316</f>
        <v>500</v>
      </c>
      <c r="K18" s="418">
        <f>výdavky!V316</f>
        <v>208.31</v>
      </c>
      <c r="L18" s="419">
        <f t="shared" si="2"/>
        <v>41.662</v>
      </c>
    </row>
    <row r="19" spans="1:12" ht="12.75">
      <c r="A19" s="357">
        <f>A18+1</f>
        <v>11</v>
      </c>
      <c r="B19" s="529"/>
      <c r="C19" s="460" t="s">
        <v>179</v>
      </c>
      <c r="D19" s="461" t="s">
        <v>205</v>
      </c>
      <c r="E19" s="415" t="s">
        <v>180</v>
      </c>
      <c r="F19" s="449"/>
      <c r="G19" s="450"/>
      <c r="H19" s="418">
        <f>výdavky!M317</f>
        <v>200</v>
      </c>
      <c r="I19" s="418">
        <f>výdavky!P317</f>
        <v>400</v>
      </c>
      <c r="J19" s="418">
        <f>výdavky!T317</f>
        <v>400</v>
      </c>
      <c r="K19" s="418">
        <f>výdavky!V317</f>
        <v>336</v>
      </c>
      <c r="L19" s="419">
        <f t="shared" si="2"/>
        <v>84</v>
      </c>
    </row>
    <row r="20" spans="1:12" ht="12.75">
      <c r="A20" s="357">
        <v>12</v>
      </c>
      <c r="B20" s="559"/>
      <c r="C20" s="407"/>
      <c r="D20" s="361" t="s">
        <v>156</v>
      </c>
      <c r="E20" s="427"/>
      <c r="F20" s="394"/>
      <c r="G20" s="395">
        <f>G22</f>
        <v>0</v>
      </c>
      <c r="H20" s="396">
        <f>H21</f>
        <v>0</v>
      </c>
      <c r="I20" s="396">
        <f>I21</f>
        <v>0</v>
      </c>
      <c r="J20" s="396">
        <f>J21</f>
        <v>0</v>
      </c>
      <c r="K20" s="396">
        <f>K21</f>
        <v>0</v>
      </c>
      <c r="L20" s="397">
        <f>L21</f>
        <v>0</v>
      </c>
    </row>
    <row r="21" spans="1:12" ht="12.75">
      <c r="A21" s="357">
        <f>A20+1</f>
        <v>13</v>
      </c>
      <c r="B21" s="559"/>
      <c r="C21" s="484" t="s">
        <v>312</v>
      </c>
      <c r="D21" s="400" t="s">
        <v>311</v>
      </c>
      <c r="E21" s="401"/>
      <c r="F21" s="402"/>
      <c r="G21" s="403">
        <f>SUM(G22:G23)</f>
        <v>0</v>
      </c>
      <c r="H21" s="404">
        <f>H22+SUM(H22,H23)</f>
        <v>0</v>
      </c>
      <c r="I21" s="404">
        <f>I22+SUM(I22,I23)</f>
        <v>0</v>
      </c>
      <c r="J21" s="404">
        <f>J22+SUM(J22,J23)</f>
        <v>0</v>
      </c>
      <c r="K21" s="404">
        <f>K22+SUM(K22,K23)</f>
        <v>0</v>
      </c>
      <c r="L21" s="405">
        <f>L22+SUM(L22,L23)</f>
        <v>0</v>
      </c>
    </row>
    <row r="22" spans="1:12" ht="12.75">
      <c r="A22" s="357">
        <f>A21+1</f>
        <v>14</v>
      </c>
      <c r="B22" s="529"/>
      <c r="C22" s="460" t="s">
        <v>300</v>
      </c>
      <c r="D22" s="461" t="s">
        <v>207</v>
      </c>
      <c r="E22" s="563" t="s">
        <v>301</v>
      </c>
      <c r="F22" s="428"/>
      <c r="G22" s="429"/>
      <c r="H22" s="418">
        <v>0</v>
      </c>
      <c r="I22" s="418">
        <v>0</v>
      </c>
      <c r="J22" s="418">
        <v>0</v>
      </c>
      <c r="K22" s="418">
        <v>0</v>
      </c>
      <c r="L22" s="419">
        <v>0</v>
      </c>
    </row>
    <row r="23" spans="1:12" ht="12.75">
      <c r="A23" s="493">
        <f>A22+1</f>
        <v>15</v>
      </c>
      <c r="B23" s="535"/>
      <c r="C23" s="536" t="s">
        <v>302</v>
      </c>
      <c r="D23" s="658" t="s">
        <v>211</v>
      </c>
      <c r="E23" s="659" t="s">
        <v>313</v>
      </c>
      <c r="F23" s="660"/>
      <c r="G23" s="661"/>
      <c r="H23" s="662">
        <v>0</v>
      </c>
      <c r="I23" s="662">
        <v>0</v>
      </c>
      <c r="J23" s="662">
        <v>0</v>
      </c>
      <c r="K23" s="662">
        <v>0</v>
      </c>
      <c r="L23" s="663">
        <v>0</v>
      </c>
    </row>
  </sheetData>
  <mergeCells count="3">
    <mergeCell ref="H3:J3"/>
    <mergeCell ref="K3:L3"/>
    <mergeCell ref="D4:F6"/>
  </mergeCells>
  <printOptions/>
  <pageMargins left="0.5902777777777778" right="0.19652777777777777" top="0.9840277777777778" bottom="0.9840277777777778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Tekovské Lužany</cp:lastModifiedBy>
  <cp:lastPrinted>2013-05-14T13:29:58Z</cp:lastPrinted>
  <dcterms:modified xsi:type="dcterms:W3CDTF">2013-05-14T13:33:13Z</dcterms:modified>
  <cp:category/>
  <cp:version/>
  <cp:contentType/>
  <cp:contentStatus/>
</cp:coreProperties>
</file>