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Bilancia 2013_2014" sheetId="14" r:id="rId14"/>
    <sheet name="výdavky" sheetId="15" r:id="rId15"/>
  </sheets>
  <definedNames>
    <definedName name="Excel_BuiltIn_Print_Area_1">'výdavky'!$A$1:$AT$458</definedName>
  </definedNames>
  <calcPr fullCalcOnLoad="1"/>
</workbook>
</file>

<file path=xl/sharedStrings.xml><?xml version="1.0" encoding="utf-8"?>
<sst xmlns="http://schemas.openxmlformats.org/spreadsheetml/2006/main" count="1833" uniqueCount="744">
  <si>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</si>
  <si>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</si>
  <si>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</si>
  <si>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</si>
  <si>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</si>
  <si>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</si>
  <si>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</si>
  <si>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</si>
  <si>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</si>
  <si>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</si>
  <si>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</si>
  <si>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</si>
  <si>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</si>
  <si>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</si>
  <si>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</si>
  <si>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</si>
  <si>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</si>
  <si>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</si>
  <si>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</si>
  <si>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</si>
  <si>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, ktoré sa nachádza v oblasti ohrozenia jadrovým zariadením.</t>
    </r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</si>
  <si>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</si>
  <si>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</si>
  <si>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</si>
  <si>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</si>
  <si>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</si>
  <si>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</si>
  <si>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</si>
  <si>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</si>
  <si>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</si>
  <si>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</si>
  <si>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</si>
  <si>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</si>
  <si>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</si>
  <si>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</si>
  <si>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</si>
  <si>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</si>
  <si>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</si>
  <si>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</si>
  <si>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</si>
  <si>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</si>
  <si>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</si>
  <si>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</si>
  <si>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</si>
  <si>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</si>
  <si>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</si>
  <si>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</si>
  <si>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</si>
  <si>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</si>
  <si>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</si>
  <si>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</si>
  <si>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</si>
  <si>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</si>
  <si>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</si>
  <si>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</si>
  <si>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3. Granty a transfery</t>
  </si>
  <si>
    <t>3.1</t>
  </si>
  <si>
    <t>Dotácia na základné vzdelanie s bežnou starostlivosťou</t>
  </si>
  <si>
    <t>3.2</t>
  </si>
  <si>
    <t>Dotácia na predškolskú výchovu</t>
  </si>
  <si>
    <t>3.3</t>
  </si>
  <si>
    <t>Dotácia na matričnú činnosť</t>
  </si>
  <si>
    <t>3.4</t>
  </si>
  <si>
    <t>Dotácia na podporu zamestnanosti (aktivačná činnosť)</t>
  </si>
  <si>
    <t>3.5</t>
  </si>
  <si>
    <t>Dotácia na deti zo sociálne znevýhodneného prostredia</t>
  </si>
  <si>
    <t>3.6</t>
  </si>
  <si>
    <t>Dotácia na dopravné</t>
  </si>
  <si>
    <t>3.7</t>
  </si>
  <si>
    <t>Dotácia na vzdelávacie poukazy</t>
  </si>
  <si>
    <t>3.8</t>
  </si>
  <si>
    <t>Dotácia na školské potreby</t>
  </si>
  <si>
    <t>3.9</t>
  </si>
  <si>
    <t>Transfer na osobitného príjemcu</t>
  </si>
  <si>
    <t>3.10</t>
  </si>
  <si>
    <t>Transfer na deti v hmotnej núdzi (stravovanie)</t>
  </si>
  <si>
    <t>3.11</t>
  </si>
  <si>
    <t>Dotácia z NSK</t>
  </si>
  <si>
    <t>3.12</t>
  </si>
  <si>
    <t>Dotácia na projekt ZŠ (MPC)</t>
  </si>
  <si>
    <t>3.13</t>
  </si>
  <si>
    <t>Dotácia na vzdelávanie detí z MRK</t>
  </si>
  <si>
    <t>Dotácia FSR – TSP</t>
  </si>
  <si>
    <t>Kapitálové príjmy</t>
  </si>
  <si>
    <t>1. Nedaňové príjmy</t>
  </si>
  <si>
    <t>Príjem z predaja budov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</si>
  <si>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</si>
  <si>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</si>
  <si>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</si>
  <si>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</si>
  <si>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</si>
  <si>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</si>
  <si>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</si>
  <si>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</si>
  <si>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Príjmové finančné operácie</t>
  </si>
  <si>
    <t>Bankové úvery dlhodobé</t>
  </si>
  <si>
    <t>Rekapitulácia</t>
  </si>
  <si>
    <t>Vlastné príjmy RO s PS</t>
  </si>
  <si>
    <t>Celkové príjmy</t>
  </si>
  <si>
    <t>Príjmy rozpočtu obce Tekovské Lužany</t>
  </si>
  <si>
    <t>daňové príjmy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</si>
  <si>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</si>
  <si>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</si>
  <si>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</si>
  <si>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</si>
  <si>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</si>
  <si>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</si>
  <si>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</si>
  <si>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</si>
  <si>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</si>
  <si>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</si>
  <si>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</si>
  <si>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v tom: Daň za psa-minulé roky</t>
  </si>
  <si>
    <t>012.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</si>
  <si>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</si>
  <si>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</si>
  <si>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</si>
  <si>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</si>
  <si>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</si>
  <si>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</si>
  <si>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</si>
  <si>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</si>
  <si>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</si>
  <si>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</si>
  <si>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</si>
  <si>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</si>
  <si>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</si>
  <si>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</si>
  <si>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</si>
  <si>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</si>
  <si>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Náhrada škody T a M</t>
  </si>
  <si>
    <t>Za MŠ, školský klub detí</t>
  </si>
  <si>
    <t>Za stravné /MŠ/</t>
  </si>
  <si>
    <t>Za stravné /OcÚ/</t>
  </si>
  <si>
    <t>Za stravné /ZŠ/</t>
  </si>
  <si>
    <t>005.</t>
  </si>
  <si>
    <t>za znečisťovanie ovzdušia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</si>
  <si>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</si>
  <si>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</si>
  <si>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</si>
  <si>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</si>
  <si>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</si>
  <si>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</si>
  <si>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</si>
  <si>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</si>
  <si>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</si>
  <si>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</si>
  <si>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</si>
  <si>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</si>
  <si>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</si>
  <si>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</si>
  <si>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</si>
  <si>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</si>
  <si>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zo ŠR MF – 5% zvýšenie platov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</si>
  <si>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</si>
  <si>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</si>
  <si>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</si>
  <si>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</si>
  <si>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</si>
  <si>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</si>
  <si>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Transfer na osobitného príjemcu-RP</t>
  </si>
  <si>
    <t>Dotácia na stravovanie detí v HN</t>
  </si>
  <si>
    <t>Dotácia na vzdelávanie MPC</t>
  </si>
  <si>
    <t>Dotácia na vzdelávanie MRK</t>
  </si>
  <si>
    <t>Dotácia na voľby</t>
  </si>
  <si>
    <t>dotácia na opravu PK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</si>
  <si>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</si>
  <si>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</si>
  <si>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</si>
  <si>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</si>
  <si>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</si>
  <si>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</si>
  <si>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</si>
  <si>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</si>
  <si>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</si>
  <si>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Envirofond (MŠ)</t>
  </si>
  <si>
    <t>Envirofond (odvodnenie)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</si>
  <si>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</si>
  <si>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</si>
  <si>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</si>
  <si>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</si>
  <si>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</si>
  <si>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(vzdelávanie MRK)</t>
  </si>
  <si>
    <t>ÚV SR (komunitné centrum)</t>
  </si>
  <si>
    <t>z vratiek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</si>
  <si>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</si>
  <si>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</si>
  <si>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</si>
  <si>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</si>
  <si>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</si>
  <si>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</si>
  <si>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</si>
  <si>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</si>
  <si>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</si>
  <si>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</si>
  <si>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</si>
  <si>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</si>
  <si>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</si>
  <si>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</si>
  <si>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</si>
  <si>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</si>
  <si>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</si>
  <si>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</si>
  <si>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</si>
  <si>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</si>
  <si>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</si>
  <si>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</si>
  <si>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</si>
  <si>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</si>
  <si>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</si>
  <si>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</si>
  <si>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</si>
  <si>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</si>
  <si>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</si>
  <si>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</si>
  <si>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</si>
  <si>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</si>
  <si>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</si>
  <si>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</si>
  <si>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</si>
  <si>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</si>
  <si>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</si>
  <si>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</si>
  <si>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</si>
  <si>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</si>
  <si>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</si>
  <si>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</si>
  <si>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</si>
  <si>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</si>
  <si>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</si>
  <si>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</si>
  <si>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</si>
  <si>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</si>
  <si>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</si>
  <si>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</si>
  <si>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</si>
  <si>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</si>
  <si>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</si>
  <si>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</si>
  <si>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</si>
  <si>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</si>
  <si>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</si>
  <si>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</si>
  <si>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</si>
  <si>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</si>
  <si>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</si>
  <si>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</si>
  <si>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- voľby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</si>
  <si>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</si>
  <si>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</si>
  <si>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</si>
  <si>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</si>
  <si>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</si>
  <si>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</si>
  <si>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neziskovým organizáciám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</si>
  <si>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</si>
  <si>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</si>
  <si>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</si>
  <si>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</si>
  <si>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</si>
  <si>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</si>
  <si>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</si>
  <si>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</si>
  <si>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</si>
  <si>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</si>
  <si>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</si>
  <si>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</si>
  <si>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</si>
  <si>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</si>
  <si>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</si>
  <si>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</si>
  <si>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</si>
  <si>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</si>
  <si>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Splatenie finančného prenájmu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</si>
  <si>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</si>
  <si>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</si>
  <si>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</si>
  <si>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</si>
  <si>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</si>
  <si>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</si>
  <si>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</si>
  <si>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</si>
  <si>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</si>
  <si>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</si>
  <si>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Údržba</t>
  </si>
  <si>
    <t>Voľby a referendá</t>
  </si>
  <si>
    <t>01.8.0</t>
  </si>
  <si>
    <t xml:space="preserve">Všeobecné verejné služby inde neklasifikované    </t>
  </si>
  <si>
    <t>Voľby do parlamentu</t>
  </si>
  <si>
    <t>voľby do VUC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</si>
  <si>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</si>
  <si>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</si>
  <si>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</si>
  <si>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</si>
  <si>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</si>
  <si>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</si>
  <si>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</si>
  <si>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</si>
  <si>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</si>
  <si>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</si>
  <si>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</si>
  <si>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</si>
  <si>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</si>
  <si>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</si>
  <si>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</si>
  <si>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</si>
  <si>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</si>
  <si>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</si>
  <si>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</si>
  <si>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10</t>
  </si>
  <si>
    <t>Odmeny na základe dohôd</t>
  </si>
  <si>
    <t>Monitorovací kamerový systém</t>
  </si>
  <si>
    <t>713</t>
  </si>
  <si>
    <t>15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</si>
  <si>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</si>
  <si>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</si>
  <si>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</si>
  <si>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</si>
  <si>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</si>
  <si>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</si>
  <si>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</si>
  <si>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</si>
  <si>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</si>
  <si>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</si>
  <si>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</si>
  <si>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</si>
  <si>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</si>
  <si>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</si>
  <si>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</si>
  <si>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</si>
  <si>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</si>
  <si>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</si>
  <si>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</si>
  <si>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>Odvodnenie MK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</si>
  <si>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</si>
  <si>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</si>
  <si>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</si>
  <si>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</si>
  <si>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</si>
  <si>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</si>
  <si>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</si>
  <si>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</si>
  <si>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</si>
  <si>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</si>
  <si>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na nemocenské dávky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</si>
  <si>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</si>
  <si>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</si>
  <si>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</si>
  <si>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</si>
  <si>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</si>
  <si>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</si>
  <si>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</si>
  <si>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externý manažment</t>
  </si>
  <si>
    <t>05.1.0</t>
  </si>
  <si>
    <t>Zavedenie separácie biologicky rozložiteľných odpadov</t>
  </si>
  <si>
    <t>Nakladanie s odpadovými vodami</t>
  </si>
  <si>
    <t>05.2.0.</t>
  </si>
  <si>
    <t>Služby - servis</t>
  </si>
  <si>
    <t xml:space="preserve">poistné  </t>
  </si>
  <si>
    <t>Výstavba kanalizácie</t>
  </si>
  <si>
    <t>Ochrana životného prostredia</t>
  </si>
  <si>
    <t>05.6.0</t>
  </si>
  <si>
    <t>Materiál – povodeň</t>
  </si>
  <si>
    <t>Špeciálne služby</t>
  </si>
  <si>
    <t>PROGRAM 6</t>
  </si>
  <si>
    <t>OBČIANSKA VYBAVENOSŤ</t>
  </si>
  <si>
    <t>Rozvoj obce</t>
  </si>
  <si>
    <t>06.2.0.</t>
  </si>
  <si>
    <t>716</t>
  </si>
  <si>
    <t>Projektová dokumentácia</t>
  </si>
  <si>
    <t>717</t>
  </si>
  <si>
    <t>Centrum obce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</si>
  <si>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</si>
  <si>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</si>
  <si>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</si>
  <si>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</si>
  <si>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</si>
  <si>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</si>
  <si>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</si>
  <si>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</si>
  <si>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</si>
  <si>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</si>
  <si>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</si>
  <si>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</si>
  <si>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</si>
  <si>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</si>
  <si>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</si>
  <si>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</si>
  <si>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</si>
  <si>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</si>
  <si>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</si>
  <si>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</si>
  <si>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</si>
  <si>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</si>
  <si>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</si>
  <si>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</si>
  <si>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</si>
  <si>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</si>
  <si>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</si>
  <si>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</si>
  <si>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</si>
  <si>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</si>
  <si>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</si>
  <si>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</si>
  <si>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</si>
  <si>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</si>
  <si>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</si>
  <si>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</si>
  <si>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</si>
  <si>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</si>
  <si>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</si>
  <si>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</si>
  <si>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</si>
  <si>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</si>
  <si>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</si>
  <si>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</si>
  <si>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</si>
  <si>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</si>
  <si>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</si>
  <si>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</si>
  <si>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</si>
  <si>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</si>
  <si>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</si>
  <si>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</si>
  <si>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</si>
  <si>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</si>
  <si>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</si>
  <si>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</si>
  <si>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</si>
  <si>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</si>
  <si>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</si>
  <si>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</si>
  <si>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</si>
  <si>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</si>
  <si>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</si>
  <si>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</si>
  <si>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vlastné zdroje ZŠ s VJM</t>
  </si>
  <si>
    <t>dotácia na dopravné</t>
  </si>
  <si>
    <t>dotácie pre deti zo sociálne znevýhodneného prostredia</t>
  </si>
  <si>
    <t>dotácia na školské potreby</t>
  </si>
  <si>
    <t>dotácia na vzdelávacie poukazy</t>
  </si>
  <si>
    <t>vzdelávanie MRK</t>
  </si>
  <si>
    <t>vzdelávanie MPC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</si>
  <si>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</si>
  <si>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</si>
  <si>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</si>
  <si>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</si>
  <si>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</si>
  <si>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</si>
  <si>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</si>
  <si>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</si>
  <si>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</si>
  <si>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</si>
  <si>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</si>
  <si>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</si>
  <si>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</si>
  <si>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</si>
  <si>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</si>
  <si>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</si>
  <si>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</si>
  <si>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</si>
  <si>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</si>
  <si>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</si>
  <si>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</si>
  <si>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</si>
  <si>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</si>
  <si>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</si>
  <si>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</si>
  <si>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</si>
  <si>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</si>
  <si>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príspevok pre deti v detských domovoch</t>
  </si>
  <si>
    <t>BILANCIA PROGRAMOVÉHO ROZPOČTU OBCE TEKOVSKÉ LUŽANY</t>
  </si>
  <si>
    <t>CELKOVÁ BILANCIA ROZPOČTU</t>
  </si>
  <si>
    <t xml:space="preserve">Rok 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</si>
  <si>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</si>
  <si>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</si>
  <si>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</si>
  <si>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</si>
  <si>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</si>
  <si>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</si>
  <si>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</si>
  <si>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</si>
  <si>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</si>
  <si>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</si>
  <si>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rozdiel</t>
  </si>
  <si>
    <t>Výdavkové finančné operácie</t>
  </si>
  <si>
    <t>Rozpočtové zdroje</t>
  </si>
  <si>
    <t>Rozpočtové výdavky</t>
  </si>
  <si>
    <t>BILANCIA PROGRAMOVÉHO ROZPOČTU ZA ROKY 2013 - 2014</t>
  </si>
  <si>
    <t>€</t>
  </si>
  <si>
    <t>%</t>
  </si>
  <si>
    <t>Program 1:</t>
  </si>
  <si>
    <t>Plánovanie, manažment a kontrola</t>
  </si>
  <si>
    <t>bežné výdavky</t>
  </si>
  <si>
    <t>kapitálové výdavky</t>
  </si>
  <si>
    <t>finančné operácie</t>
  </si>
  <si>
    <t>Program 2:</t>
  </si>
  <si>
    <t>Ochrana obyvateľstva</t>
  </si>
  <si>
    <t>Program 3:</t>
  </si>
  <si>
    <t>Bezpečnosť, právo a poriadok</t>
  </si>
  <si>
    <t>Program 4:</t>
  </si>
  <si>
    <t>Prostredie pre život</t>
  </si>
  <si>
    <t>Program 5:</t>
  </si>
  <si>
    <t>Odpadové hospodárstvo</t>
  </si>
  <si>
    <t>Program 6:</t>
  </si>
  <si>
    <t>Občianska vybavenosť</t>
  </si>
  <si>
    <t>Program 7:</t>
  </si>
  <si>
    <t>Zdravotná starostlivosť</t>
  </si>
  <si>
    <t>Program 8:</t>
  </si>
  <si>
    <t>Šport a kultúra</t>
  </si>
  <si>
    <t>Program 9:</t>
  </si>
  <si>
    <t>Vzdelávanie</t>
  </si>
  <si>
    <t>Program 10:</t>
  </si>
  <si>
    <t>Sociálne služby</t>
  </si>
  <si>
    <t>Sumarizácia</t>
  </si>
  <si>
    <t>výdavky celkom</t>
  </si>
  <si>
    <t>Výdavky rozpočtu obce Tekovské Lužany na roky 2014 - 2016</t>
  </si>
  <si>
    <t>01 všeobecné verejné služby</t>
  </si>
  <si>
    <t>01.1.1 Výdavky verejnej správy</t>
  </si>
  <si>
    <t>Mzdy, platy, sl.príjmy a ost.os.vyrovnania</t>
  </si>
  <si>
    <t>voľby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</si>
  <si>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</si>
  <si>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</si>
  <si>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</si>
  <si>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</si>
  <si>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</si>
  <si>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</si>
  <si>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</si>
  <si>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</si>
  <si>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</si>
  <si>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</si>
  <si>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</si>
  <si>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</si>
  <si>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</si>
  <si>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</si>
  <si>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</si>
  <si>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</si>
  <si>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</si>
  <si>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</si>
  <si>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</si>
  <si>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</si>
  <si>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</si>
  <si>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</si>
  <si>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</si>
  <si>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</si>
  <si>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</si>
  <si>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</si>
  <si>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</si>
  <si>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</si>
  <si>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</si>
  <si>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</si>
  <si>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</si>
  <si>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</si>
  <si>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</si>
  <si>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</si>
  <si>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</si>
  <si>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</si>
  <si>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</si>
  <si>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</si>
  <si>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</si>
  <si>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</si>
  <si>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</si>
  <si>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</si>
  <si>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</si>
  <si>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</si>
  <si>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</si>
  <si>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</si>
  <si>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</si>
  <si>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</si>
  <si>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</si>
  <si>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</si>
  <si>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</si>
  <si>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</si>
  <si>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</si>
  <si>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</si>
  <si>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</si>
  <si>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</si>
  <si>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nezisk.org.-všeob.prosp.služby</t>
  </si>
  <si>
    <t>na členské príspevky</t>
  </si>
  <si>
    <t>splácanie úrokov banke - úver</t>
  </si>
  <si>
    <t>provízie</t>
  </si>
  <si>
    <t>01.1.2 Finančná a rozpočtová oblasť</t>
  </si>
  <si>
    <t>026.</t>
  </si>
  <si>
    <t>odmeny na základe dohôd-pre čl.zast.</t>
  </si>
  <si>
    <t>Služby - audit</t>
  </si>
  <si>
    <t>01.3.3 Iné všeobecné služby /matrika/</t>
  </si>
  <si>
    <t xml:space="preserve"> Mzdy - zdroj ŠR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</si>
  <si>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</si>
  <si>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</si>
  <si>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</si>
  <si>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</si>
  <si>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</si>
  <si>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</si>
  <si>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</si>
  <si>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</si>
  <si>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</si>
  <si>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</si>
  <si>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</si>
  <si>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</si>
  <si>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Výpočtová technika</t>
  </si>
  <si>
    <t>prevádzkové stroje a zariadenia (vysielačky)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</si>
  <si>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</si>
  <si>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</si>
  <si>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</si>
  <si>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</si>
  <si>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</si>
  <si>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</si>
  <si>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</si>
  <si>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</si>
  <si>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03.2.0 Požiarna ochrana</t>
  </si>
  <si>
    <t>Interiérové vybavenie</t>
  </si>
  <si>
    <t>Prevádzkové stroje,prístroje, zariad.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</si>
  <si>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</si>
  <si>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</si>
  <si>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</si>
  <si>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</si>
  <si>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</si>
  <si>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</si>
  <si>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Služby,školenia,poistenie</t>
  </si>
  <si>
    <t>odstupné</t>
  </si>
  <si>
    <t>04.1.2 Všeobecno - pracovná oblasť /aktivačná činnosť/</t>
  </si>
  <si>
    <t>mzdy - zdroj ŠR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</si>
  <si>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</si>
  <si>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</si>
  <si>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</si>
  <si>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</si>
  <si>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</si>
  <si>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</si>
  <si>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</si>
  <si>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</si>
  <si>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</si>
  <si>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</si>
  <si>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</si>
  <si>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05.2.0 Nakladanie s odpadovými vodami</t>
  </si>
  <si>
    <t>Dopravné, servis</t>
  </si>
  <si>
    <t>Servis a údržba</t>
  </si>
  <si>
    <t>05.6.0 Ochrana životného prostredia</t>
  </si>
  <si>
    <t>05</t>
  </si>
  <si>
    <t>06 občianska vybavenosť</t>
  </si>
  <si>
    <t>06.2.0 Rozvoj obce</t>
  </si>
  <si>
    <t>poistné - centrum obce</t>
  </si>
  <si>
    <t>06.4.0 Verejné osvetlenie</t>
  </si>
  <si>
    <t>06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</si>
  <si>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</si>
  <si>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</si>
  <si>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</si>
  <si>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</si>
  <si>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</si>
  <si>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</si>
  <si>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</si>
  <si>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</si>
  <si>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</si>
  <si>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</si>
  <si>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iné športové aktivity</t>
  </si>
  <si>
    <t>08.2.0 Kultúrne služby</t>
  </si>
  <si>
    <t>prevádzkové stroje, prístr.,zar.</t>
  </si>
  <si>
    <t>mažoretky</t>
  </si>
  <si>
    <t>v tom: prepravné</t>
  </si>
  <si>
    <t>Nájomné prev. strojov</t>
  </si>
  <si>
    <t>Všeobecné služby-obecné slávnosti</t>
  </si>
  <si>
    <t>na odstupné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</si>
  <si>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</si>
  <si>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</si>
  <si>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</si>
  <si>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</si>
  <si>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</si>
  <si>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</si>
  <si>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</si>
  <si>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</si>
  <si>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</si>
  <si>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</si>
  <si>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</si>
  <si>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</si>
  <si>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630,640,</t>
  </si>
  <si>
    <t>predškolský vek</t>
  </si>
  <si>
    <t>Tovary a služby- z účtu OÚ</t>
  </si>
  <si>
    <t>ZŠS</t>
  </si>
  <si>
    <t>Tovary a služby (potraviny)</t>
  </si>
  <si>
    <t>v tom: tovary a služby</t>
  </si>
  <si>
    <t>09.1.2.1 Základné vzdelanie s bežnou starostlivosťou</t>
  </si>
  <si>
    <t>Tovary a služby-z účtu OcÚ</t>
  </si>
  <si>
    <t>09.1.2.2</t>
  </si>
  <si>
    <t>vlastné zdroje ZŠ VJM</t>
  </si>
  <si>
    <t>dotácie a príspevky</t>
  </si>
  <si>
    <t>v tom: dopravné</t>
  </si>
  <si>
    <t>dotácia pre deti zo soc.znevýh.prostredia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</si>
  <si>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</si>
  <si>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</si>
  <si>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</si>
  <si>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</si>
  <si>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</si>
  <si>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</si>
  <si>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</si>
  <si>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</si>
  <si>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</si>
  <si>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</si>
  <si>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</si>
  <si>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</si>
  <si>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</si>
  <si>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</si>
  <si>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</si>
  <si>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</si>
  <si>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</si>
  <si>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</si>
  <si>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</si>
  <si>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</si>
  <si>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</si>
  <si>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</si>
  <si>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</si>
  <si>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</si>
  <si>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</si>
  <si>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</si>
  <si>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</si>
  <si>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t>Rekonštrukcia ciest, chodníkov</t>
  </si>
  <si>
    <r>
      <t>05.</t>
    </r>
    <r>
      <rPr>
        <b/>
        <i/>
        <sz val="8"/>
        <rFont val="Arial CE"/>
        <family val="2"/>
      </rPr>
      <t>2.0 Nakladanie s odpadovými vodami</t>
    </r>
  </si>
  <si>
    <t>Odvodnenie ul. Dukelskej</t>
  </si>
  <si>
    <t>Zberný dvor</t>
  </si>
  <si>
    <t>06.2.0 Rozvoj obcí</t>
  </si>
  <si>
    <t>Rekonštrukcia parku</t>
  </si>
  <si>
    <t>Výstavba centra obce</t>
  </si>
  <si>
    <t>rekonštrukcia VO</t>
  </si>
  <si>
    <t>Rekonštrukcia autobusových zastávok</t>
  </si>
  <si>
    <t>Viacúčelové športové ihrisko</t>
  </si>
  <si>
    <t>Rekonštrukcia a modernizácia</t>
  </si>
  <si>
    <t>Prípravná a projektová dokumentácia</t>
  </si>
  <si>
    <t>Rekonštrukcia MŠ</t>
  </si>
  <si>
    <t>v tom:Rekonštrukcia a modernizácia-EÚ</t>
  </si>
  <si>
    <t>10.4 Sociálne zabezpečenie</t>
  </si>
  <si>
    <t>Kapitálové výdavky spolu:</t>
  </si>
  <si>
    <t>Výdavkové finančné oprácie</t>
  </si>
  <si>
    <t>Splácanie finančného prenájmu</t>
  </si>
  <si>
    <t>Splácanie istiny z bankových úverov</t>
  </si>
  <si>
    <t>Výdavkové finančné operácie spolu:</t>
  </si>
  <si>
    <t>Bežné výdavky spolu</t>
  </si>
  <si>
    <t>Kapitálové výdavky spolu</t>
  </si>
  <si>
    <t>Rozpočtové výdavky spolu</t>
  </si>
  <si>
    <t>poistenie - centrum obce</t>
  </si>
  <si>
    <t>školské potreby z rozpočtu</t>
  </si>
  <si>
    <t>príspevok pre SČK</t>
  </si>
  <si>
    <t>príspevok na školské potreby z rozpočtu obce</t>
  </si>
  <si>
    <t>5 % navýš.pl.neped.pr.</t>
  </si>
  <si>
    <t>Dotácia na školstvo - kredit.prípl.</t>
  </si>
  <si>
    <t>predmetné príjmy zahŕňajú predovšetkým príjmy z dobropisov, vratiek zo zúčtovania za predchádzajúci rok, dividendy, výťažky lotérií</t>
  </si>
  <si>
    <t>Predpokladané príjmy z tuzemských grantov a dotácií budú realizované v nasledujúcej štruktúre: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</si>
</sst>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,_S_k_-;\-* #,##0.00,_S_k_-;_-* \-??\ _S_k_-;_-@_-"/>
    <numFmt numFmtId="173" formatCode="_-* #,##0.00&quot; €&quot;_-;\-* #,##0.00&quot; €&quot;_-;_-* \-??&quot; €&quot;_-;_-@_-"/>
    <numFmt numFmtId="174" formatCode="#,##0.0"/>
    <numFmt numFmtId="175" formatCode="0.0"/>
    <numFmt numFmtId="176" formatCode="dd/mm/yyyy"/>
    <numFmt numFmtId="177" formatCode="#,##0;\-#,##0"/>
    <numFmt numFmtId="178" formatCode="#,##0.00;\-#,##0.00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i/>
      <sz val="12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14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25" fillId="3" borderId="0" xfId="0" applyNumberFormat="1" applyFont="1" applyFill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3" fontId="25" fillId="7" borderId="0" xfId="0" applyNumberFormat="1" applyFont="1" applyFill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49" fontId="28" fillId="15" borderId="13" xfId="0" applyNumberFormat="1" applyFont="1" applyFill="1" applyBorder="1" applyAlignment="1">
      <alignment horizontal="center"/>
    </xf>
    <xf numFmtId="49" fontId="28" fillId="15" borderId="14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 horizontal="right" vertical="center"/>
    </xf>
    <xf numFmtId="49" fontId="27" fillId="0" borderId="16" xfId="0" applyNumberFormat="1" applyFont="1" applyBorder="1" applyAlignment="1">
      <alignment horizontal="right" vertical="center"/>
    </xf>
    <xf numFmtId="3" fontId="0" fillId="15" borderId="15" xfId="0" applyNumberFormat="1" applyFont="1" applyFill="1" applyBorder="1" applyAlignment="1">
      <alignment horizontal="right"/>
    </xf>
    <xf numFmtId="0" fontId="28" fillId="0" borderId="16" xfId="0" applyFont="1" applyBorder="1" applyAlignment="1">
      <alignment vertical="top"/>
    </xf>
    <xf numFmtId="49" fontId="0" fillId="0" borderId="16" xfId="0" applyNumberFormat="1" applyBorder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5" fillId="7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28" fillId="15" borderId="15" xfId="0" applyNumberFormat="1" applyFont="1" applyFill="1" applyBorder="1" applyAlignment="1">
      <alignment horizontal="right"/>
    </xf>
    <xf numFmtId="3" fontId="26" fillId="0" borderId="15" xfId="0" applyNumberFormat="1" applyFont="1" applyBorder="1" applyAlignment="1">
      <alignment horizontal="right"/>
    </xf>
    <xf numFmtId="49" fontId="26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49" fontId="28" fillId="0" borderId="17" xfId="0" applyNumberFormat="1" applyFont="1" applyBorder="1" applyAlignment="1">
      <alignment horizontal="center"/>
    </xf>
    <xf numFmtId="0" fontId="28" fillId="0" borderId="18" xfId="0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49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3" fontId="28" fillId="0" borderId="15" xfId="0" applyNumberFormat="1" applyFont="1" applyBorder="1" applyAlignment="1">
      <alignment horizontal="right"/>
    </xf>
    <xf numFmtId="49" fontId="28" fillId="0" borderId="2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3" fontId="28" fillId="0" borderId="21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3" fontId="24" fillId="7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5" fillId="0" borderId="0" xfId="586" applyFont="1" applyBorder="1">
      <alignment/>
      <protection/>
    </xf>
    <xf numFmtId="0" fontId="31" fillId="0" borderId="0" xfId="586" applyFont="1" applyBorder="1">
      <alignment/>
      <protection/>
    </xf>
    <xf numFmtId="2" fontId="5" fillId="0" borderId="0" xfId="586" applyNumberFormat="1" applyFont="1" applyBorder="1" applyAlignment="1">
      <alignment horizontal="center"/>
      <protection/>
    </xf>
    <xf numFmtId="3" fontId="5" fillId="0" borderId="0" xfId="586" applyNumberFormat="1" applyFont="1" applyBorder="1">
      <alignment/>
      <protection/>
    </xf>
    <xf numFmtId="0" fontId="5" fillId="0" borderId="0" xfId="586" applyFont="1" applyFill="1" applyBorder="1">
      <alignment/>
      <protection/>
    </xf>
    <xf numFmtId="4" fontId="5" fillId="0" borderId="0" xfId="586" applyNumberFormat="1" applyFont="1" applyFill="1" applyBorder="1">
      <alignment/>
      <protection/>
    </xf>
    <xf numFmtId="0" fontId="32" fillId="0" borderId="0" xfId="586" applyFont="1" applyFill="1" applyBorder="1" applyAlignment="1">
      <alignment/>
      <protection/>
    </xf>
    <xf numFmtId="0" fontId="32" fillId="3" borderId="0" xfId="586" applyFont="1" applyFill="1" applyBorder="1">
      <alignment/>
      <protection/>
    </xf>
    <xf numFmtId="0" fontId="32" fillId="0" borderId="0" xfId="586" applyFont="1" applyBorder="1" applyAlignment="1">
      <alignment horizontal="center"/>
      <protection/>
    </xf>
    <xf numFmtId="0" fontId="31" fillId="0" borderId="0" xfId="586" applyFont="1" applyBorder="1" applyAlignment="1">
      <alignment horizontal="center"/>
      <protection/>
    </xf>
    <xf numFmtId="2" fontId="32" fillId="0" borderId="0" xfId="586" applyNumberFormat="1" applyFont="1" applyFill="1" applyBorder="1" applyAlignment="1">
      <alignment/>
      <protection/>
    </xf>
    <xf numFmtId="2" fontId="32" fillId="0" borderId="0" xfId="586" applyNumberFormat="1" applyFont="1" applyFill="1" applyBorder="1" applyAlignment="1">
      <alignment horizontal="center"/>
      <protection/>
    </xf>
    <xf numFmtId="3" fontId="32" fillId="0" borderId="0" xfId="586" applyNumberFormat="1" applyFont="1" applyFill="1" applyBorder="1" applyAlignment="1">
      <alignment horizontal="center"/>
      <protection/>
    </xf>
    <xf numFmtId="4" fontId="32" fillId="0" borderId="0" xfId="586" applyNumberFormat="1" applyFont="1" applyFill="1" applyBorder="1" applyAlignment="1">
      <alignment horizontal="center"/>
      <protection/>
    </xf>
    <xf numFmtId="0" fontId="31" fillId="7" borderId="22" xfId="586" applyFont="1" applyFill="1" applyBorder="1">
      <alignment/>
      <protection/>
    </xf>
    <xf numFmtId="0" fontId="32" fillId="7" borderId="23" xfId="586" applyFont="1" applyFill="1" applyBorder="1" applyAlignment="1">
      <alignment vertical="top"/>
      <protection/>
    </xf>
    <xf numFmtId="0" fontId="32" fillId="7" borderId="24" xfId="586" applyFont="1" applyFill="1" applyBorder="1" applyAlignment="1">
      <alignment horizontal="center"/>
      <protection/>
    </xf>
    <xf numFmtId="0" fontId="31" fillId="7" borderId="25" xfId="586" applyFont="1" applyFill="1" applyBorder="1" applyAlignment="1">
      <alignment horizontal="justify" vertical="center"/>
      <protection/>
    </xf>
    <xf numFmtId="0" fontId="31" fillId="7" borderId="25" xfId="586" applyFont="1" applyFill="1" applyBorder="1" applyAlignment="1">
      <alignment horizontal="center" vertical="center"/>
      <protection/>
    </xf>
    <xf numFmtId="3" fontId="31" fillId="7" borderId="25" xfId="586" applyNumberFormat="1" applyFont="1" applyFill="1" applyBorder="1" applyAlignment="1">
      <alignment horizontal="center" vertical="center"/>
      <protection/>
    </xf>
    <xf numFmtId="0" fontId="31" fillId="7" borderId="26" xfId="586" applyNumberFormat="1" applyFont="1" applyFill="1" applyBorder="1" applyAlignment="1">
      <alignment horizontal="center" vertical="center"/>
      <protection/>
    </xf>
    <xf numFmtId="0" fontId="31" fillId="7" borderId="27" xfId="586" applyFont="1" applyFill="1" applyBorder="1" applyAlignment="1">
      <alignment horizontal="center" vertical="center"/>
      <protection/>
    </xf>
    <xf numFmtId="3" fontId="31" fillId="7" borderId="24" xfId="586" applyNumberFormat="1" applyFont="1" applyFill="1" applyBorder="1" applyAlignment="1">
      <alignment horizontal="center" vertical="center"/>
      <protection/>
    </xf>
    <xf numFmtId="3" fontId="31" fillId="7" borderId="28" xfId="586" applyNumberFormat="1" applyFont="1" applyFill="1" applyBorder="1" applyAlignment="1">
      <alignment horizontal="center" vertical="center"/>
      <protection/>
    </xf>
    <xf numFmtId="2" fontId="31" fillId="0" borderId="0" xfId="586" applyNumberFormat="1" applyFont="1" applyFill="1" applyBorder="1" applyAlignment="1">
      <alignment horizontal="justify" vertical="center"/>
      <protection/>
    </xf>
    <xf numFmtId="4" fontId="31" fillId="0" borderId="0" xfId="586" applyNumberFormat="1" applyFont="1" applyFill="1" applyBorder="1" applyAlignment="1">
      <alignment horizontal="justify" vertical="top"/>
      <protection/>
    </xf>
    <xf numFmtId="0" fontId="33" fillId="15" borderId="29" xfId="586" applyFont="1" applyFill="1" applyBorder="1">
      <alignment/>
      <protection/>
    </xf>
    <xf numFmtId="0" fontId="34" fillId="15" borderId="0" xfId="586" applyFont="1" applyFill="1" applyBorder="1" applyAlignment="1">
      <alignment vertical="top"/>
      <protection/>
    </xf>
    <xf numFmtId="0" fontId="34" fillId="15" borderId="30" xfId="586" applyFont="1" applyFill="1" applyBorder="1" applyAlignment="1">
      <alignment horizontal="center"/>
      <protection/>
    </xf>
    <xf numFmtId="3" fontId="35" fillId="15" borderId="15" xfId="586" applyNumberFormat="1" applyFont="1" applyFill="1" applyBorder="1" applyAlignment="1">
      <alignment horizontal="right" vertical="top"/>
      <protection/>
    </xf>
    <xf numFmtId="4" fontId="35" fillId="15" borderId="15" xfId="586" applyNumberFormat="1" applyFont="1" applyFill="1" applyBorder="1" applyAlignment="1">
      <alignment horizontal="right" vertical="top"/>
      <protection/>
    </xf>
    <xf numFmtId="4" fontId="35" fillId="15" borderId="15" xfId="586" applyNumberFormat="1" applyFont="1" applyFill="1" applyBorder="1" applyAlignment="1">
      <alignment horizontal="center" vertical="top"/>
      <protection/>
    </xf>
    <xf numFmtId="4" fontId="35" fillId="15" borderId="13" xfId="586" applyNumberFormat="1" applyFont="1" applyFill="1" applyBorder="1" applyAlignment="1">
      <alignment horizontal="center" vertical="top"/>
      <protection/>
    </xf>
    <xf numFmtId="4" fontId="35" fillId="15" borderId="31" xfId="586" applyNumberFormat="1" applyFont="1" applyFill="1" applyBorder="1" applyAlignment="1">
      <alignment horizontal="right" vertical="top"/>
      <protection/>
    </xf>
    <xf numFmtId="4" fontId="35" fillId="15" borderId="32" xfId="586" applyNumberFormat="1" applyFont="1" applyFill="1" applyBorder="1" applyAlignment="1">
      <alignment horizontal="right" vertical="top"/>
      <protection/>
    </xf>
    <xf numFmtId="4" fontId="35" fillId="15" borderId="33" xfId="586" applyNumberFormat="1" applyFont="1" applyFill="1" applyBorder="1" applyAlignment="1">
      <alignment horizontal="right" vertical="top"/>
      <protection/>
    </xf>
    <xf numFmtId="4" fontId="35" fillId="0" borderId="0" xfId="586" applyNumberFormat="1" applyFont="1" applyFill="1" applyBorder="1" applyAlignment="1">
      <alignment horizontal="right" vertical="top"/>
      <protection/>
    </xf>
    <xf numFmtId="4" fontId="35" fillId="0" borderId="0" xfId="586" applyNumberFormat="1" applyFont="1" applyFill="1" applyBorder="1" applyAlignment="1">
      <alignment horizontal="center" vertical="top"/>
      <protection/>
    </xf>
    <xf numFmtId="0" fontId="33" fillId="0" borderId="0" xfId="586" applyFont="1" applyBorder="1">
      <alignment/>
      <protection/>
    </xf>
    <xf numFmtId="0" fontId="36" fillId="0" borderId="34" xfId="586" applyFont="1" applyFill="1" applyBorder="1">
      <alignment/>
      <protection/>
    </xf>
    <xf numFmtId="0" fontId="36" fillId="0" borderId="14" xfId="586" applyFont="1" applyFill="1" applyBorder="1">
      <alignment/>
      <protection/>
    </xf>
    <xf numFmtId="0" fontId="36" fillId="0" borderId="32" xfId="586" applyFont="1" applyFill="1" applyBorder="1">
      <alignment/>
      <protection/>
    </xf>
    <xf numFmtId="3" fontId="37" fillId="0" borderId="15" xfId="586" applyNumberFormat="1" applyFont="1" applyFill="1" applyBorder="1" applyAlignment="1">
      <alignment horizontal="right"/>
      <protection/>
    </xf>
    <xf numFmtId="3" fontId="36" fillId="0" borderId="15" xfId="586" applyNumberFormat="1" applyFont="1" applyFill="1" applyBorder="1" applyAlignment="1">
      <alignment horizontal="right"/>
      <protection/>
    </xf>
    <xf numFmtId="4" fontId="37" fillId="0" borderId="15" xfId="586" applyNumberFormat="1" applyFont="1" applyFill="1" applyBorder="1" applyAlignment="1">
      <alignment horizontal="center"/>
      <protection/>
    </xf>
    <xf numFmtId="4" fontId="37" fillId="0" borderId="13" xfId="586" applyNumberFormat="1" applyFont="1" applyFill="1" applyBorder="1" applyAlignment="1">
      <alignment horizontal="right"/>
      <protection/>
    </xf>
    <xf numFmtId="3" fontId="37" fillId="9" borderId="31" xfId="586" applyNumberFormat="1" applyFont="1" applyFill="1" applyBorder="1" applyAlignment="1">
      <alignment horizontal="right"/>
      <protection/>
    </xf>
    <xf numFmtId="3" fontId="37" fillId="0" borderId="32" xfId="586" applyNumberFormat="1" applyFont="1" applyFill="1" applyBorder="1" applyAlignment="1">
      <alignment horizontal="right"/>
      <protection/>
    </xf>
    <xf numFmtId="3" fontId="37" fillId="0" borderId="33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center"/>
      <protection/>
    </xf>
    <xf numFmtId="0" fontId="5" fillId="0" borderId="0" xfId="586" applyFill="1" applyBorder="1">
      <alignment/>
      <protection/>
    </xf>
    <xf numFmtId="4" fontId="37" fillId="9" borderId="31" xfId="586" applyNumberFormat="1" applyFont="1" applyFill="1" applyBorder="1" applyAlignment="1">
      <alignment horizontal="right"/>
      <protection/>
    </xf>
    <xf numFmtId="4" fontId="37" fillId="0" borderId="32" xfId="586" applyNumberFormat="1" applyFont="1" applyFill="1" applyBorder="1" applyAlignment="1">
      <alignment horizontal="right"/>
      <protection/>
    </xf>
    <xf numFmtId="4" fontId="37" fillId="0" borderId="33" xfId="586" applyNumberFormat="1" applyFont="1" applyFill="1" applyBorder="1" applyAlignment="1">
      <alignment horizontal="right"/>
      <protection/>
    </xf>
    <xf numFmtId="0" fontId="36" fillId="0" borderId="34" xfId="586" applyFont="1" applyBorder="1">
      <alignment/>
      <protection/>
    </xf>
    <xf numFmtId="0" fontId="36" fillId="0" borderId="14" xfId="586" applyFont="1" applyBorder="1">
      <alignment/>
      <protection/>
    </xf>
    <xf numFmtId="0" fontId="36" fillId="0" borderId="32" xfId="586" applyFont="1" applyBorder="1">
      <alignment/>
      <protection/>
    </xf>
    <xf numFmtId="3" fontId="36" fillId="0" borderId="19" xfId="586" applyNumberFormat="1" applyFont="1" applyBorder="1" applyAlignment="1">
      <alignment horizontal="right"/>
      <protection/>
    </xf>
    <xf numFmtId="3" fontId="37" fillId="0" borderId="19" xfId="586" applyNumberFormat="1" applyFont="1" applyBorder="1" applyAlignment="1">
      <alignment horizontal="right"/>
      <protection/>
    </xf>
    <xf numFmtId="4" fontId="36" fillId="0" borderId="15" xfId="586" applyNumberFormat="1" applyFont="1" applyFill="1" applyBorder="1" applyAlignment="1">
      <alignment horizontal="center"/>
      <protection/>
    </xf>
    <xf numFmtId="4" fontId="36" fillId="0" borderId="17" xfId="586" applyNumberFormat="1" applyFont="1" applyFill="1" applyBorder="1" applyAlignment="1">
      <alignment horizontal="right"/>
      <protection/>
    </xf>
    <xf numFmtId="4" fontId="36" fillId="9" borderId="35" xfId="586" applyNumberFormat="1" applyFont="1" applyFill="1" applyBorder="1" applyAlignment="1">
      <alignment horizontal="right"/>
      <protection/>
    </xf>
    <xf numFmtId="4" fontId="36" fillId="0" borderId="36" xfId="586" applyNumberFormat="1" applyFont="1" applyFill="1" applyBorder="1" applyAlignment="1">
      <alignment horizontal="right"/>
      <protection/>
    </xf>
    <xf numFmtId="4" fontId="36" fillId="0" borderId="37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center"/>
      <protection/>
    </xf>
    <xf numFmtId="4" fontId="38" fillId="0" borderId="15" xfId="586" applyNumberFormat="1" applyFont="1" applyFill="1" applyBorder="1" applyAlignment="1">
      <alignment horizontal="left"/>
      <protection/>
    </xf>
    <xf numFmtId="4" fontId="36" fillId="0" borderId="17" xfId="586" applyNumberFormat="1" applyFont="1" applyBorder="1" applyAlignment="1">
      <alignment horizontal="left"/>
      <protection/>
    </xf>
    <xf numFmtId="4" fontId="36" fillId="9" borderId="35" xfId="586" applyNumberFormat="1" applyFont="1" applyFill="1" applyBorder="1" applyAlignment="1">
      <alignment horizontal="left"/>
      <protection/>
    </xf>
    <xf numFmtId="4" fontId="36" fillId="0" borderId="36" xfId="586" applyNumberFormat="1" applyFont="1" applyBorder="1" applyAlignment="1">
      <alignment horizontal="left"/>
      <protection/>
    </xf>
    <xf numFmtId="4" fontId="36" fillId="0" borderId="37" xfId="586" applyNumberFormat="1" applyFont="1" applyBorder="1" applyAlignment="1">
      <alignment horizontal="left"/>
      <protection/>
    </xf>
    <xf numFmtId="4" fontId="38" fillId="0" borderId="0" xfId="586" applyNumberFormat="1" applyFont="1" applyFill="1" applyBorder="1" applyAlignment="1">
      <alignment horizontal="left"/>
      <protection/>
    </xf>
    <xf numFmtId="3" fontId="36" fillId="0" borderId="15" xfId="586" applyNumberFormat="1" applyFont="1" applyBorder="1">
      <alignment/>
      <protection/>
    </xf>
    <xf numFmtId="3" fontId="36" fillId="0" borderId="15" xfId="586" applyNumberFormat="1" applyFont="1" applyBorder="1" applyAlignment="1">
      <alignment horizontal="right"/>
      <protection/>
    </xf>
    <xf numFmtId="3" fontId="37" fillId="0" borderId="15" xfId="586" applyNumberFormat="1" applyFont="1" applyBorder="1">
      <alignment/>
      <protection/>
    </xf>
    <xf numFmtId="4" fontId="36" fillId="0" borderId="13" xfId="586" applyNumberFormat="1" applyFont="1" applyBorder="1" applyAlignment="1">
      <alignment horizontal="right"/>
      <protection/>
    </xf>
    <xf numFmtId="4" fontId="36" fillId="9" borderId="31" xfId="586" applyNumberFormat="1" applyFont="1" applyFill="1" applyBorder="1" applyAlignment="1">
      <alignment horizontal="right"/>
      <protection/>
    </xf>
    <xf numFmtId="4" fontId="36" fillId="0" borderId="32" xfId="586" applyNumberFormat="1" applyFont="1" applyBorder="1" applyAlignment="1">
      <alignment horizontal="right"/>
      <protection/>
    </xf>
    <xf numFmtId="4" fontId="36" fillId="0" borderId="33" xfId="586" applyNumberFormat="1" applyFont="1" applyBorder="1" applyAlignment="1">
      <alignment horizontal="right"/>
      <protection/>
    </xf>
    <xf numFmtId="4" fontId="36" fillId="0" borderId="13" xfId="586" applyNumberFormat="1" applyFont="1" applyBorder="1" applyAlignment="1">
      <alignment horizontal="left"/>
      <protection/>
    </xf>
    <xf numFmtId="4" fontId="36" fillId="9" borderId="31" xfId="586" applyNumberFormat="1" applyFont="1" applyFill="1" applyBorder="1" applyAlignment="1">
      <alignment horizontal="left"/>
      <protection/>
    </xf>
    <xf numFmtId="4" fontId="36" fillId="0" borderId="32" xfId="586" applyNumberFormat="1" applyFont="1" applyBorder="1" applyAlignment="1">
      <alignment horizontal="left"/>
      <protection/>
    </xf>
    <xf numFmtId="4" fontId="36" fillId="0" borderId="33" xfId="586" applyNumberFormat="1" applyFont="1" applyBorder="1" applyAlignment="1">
      <alignment horizontal="left"/>
      <protection/>
    </xf>
    <xf numFmtId="0" fontId="36" fillId="0" borderId="38" xfId="586" applyFont="1" applyBorder="1">
      <alignment/>
      <protection/>
    </xf>
    <xf numFmtId="0" fontId="36" fillId="0" borderId="39" xfId="586" applyFont="1" applyBorder="1">
      <alignment/>
      <protection/>
    </xf>
    <xf numFmtId="0" fontId="36" fillId="0" borderId="40" xfId="586" applyFont="1" applyBorder="1">
      <alignment/>
      <protection/>
    </xf>
    <xf numFmtId="3" fontId="36" fillId="0" borderId="41" xfId="586" applyNumberFormat="1" applyFont="1" applyBorder="1">
      <alignment/>
      <protection/>
    </xf>
    <xf numFmtId="3" fontId="36" fillId="0" borderId="41" xfId="586" applyNumberFormat="1" applyFont="1" applyBorder="1" applyAlignment="1">
      <alignment horizontal="right"/>
      <protection/>
    </xf>
    <xf numFmtId="3" fontId="37" fillId="0" borderId="41" xfId="586" applyNumberFormat="1" applyFont="1" applyBorder="1">
      <alignment/>
      <protection/>
    </xf>
    <xf numFmtId="4" fontId="36" fillId="0" borderId="41" xfId="586" applyNumberFormat="1" applyFont="1" applyFill="1" applyBorder="1" applyAlignment="1">
      <alignment horizontal="center"/>
      <protection/>
    </xf>
    <xf numFmtId="4" fontId="36" fillId="0" borderId="42" xfId="586" applyNumberFormat="1" applyFont="1" applyBorder="1" applyAlignment="1">
      <alignment horizontal="right"/>
      <protection/>
    </xf>
    <xf numFmtId="4" fontId="36" fillId="9" borderId="43" xfId="586" applyNumberFormat="1" applyFont="1" applyFill="1" applyBorder="1" applyAlignment="1">
      <alignment horizontal="right"/>
      <protection/>
    </xf>
    <xf numFmtId="4" fontId="36" fillId="0" borderId="40" xfId="586" applyNumberFormat="1" applyFont="1" applyBorder="1" applyAlignment="1">
      <alignment horizontal="right"/>
      <protection/>
    </xf>
    <xf numFmtId="4" fontId="36" fillId="0" borderId="44" xfId="586" applyNumberFormat="1" applyFont="1" applyBorder="1" applyAlignment="1">
      <alignment horizontal="right"/>
      <protection/>
    </xf>
    <xf numFmtId="4" fontId="39" fillId="0" borderId="0" xfId="586" applyNumberFormat="1" applyFont="1" applyBorder="1" applyAlignment="1">
      <alignment horizontal="left"/>
      <protection/>
    </xf>
    <xf numFmtId="0" fontId="36" fillId="0" borderId="0" xfId="586" applyFont="1" applyBorder="1">
      <alignment/>
      <protection/>
    </xf>
    <xf numFmtId="3" fontId="36" fillId="0" borderId="0" xfId="586" applyNumberFormat="1" applyFont="1" applyBorder="1">
      <alignment/>
      <protection/>
    </xf>
    <xf numFmtId="3" fontId="36" fillId="0" borderId="0" xfId="586" applyNumberFormat="1" applyFont="1" applyBorder="1" applyAlignment="1">
      <alignment horizontal="center"/>
      <protection/>
    </xf>
    <xf numFmtId="3" fontId="37" fillId="0" borderId="0" xfId="586" applyNumberFormat="1" applyFont="1" applyBorder="1">
      <alignment/>
      <protection/>
    </xf>
    <xf numFmtId="4" fontId="36" fillId="0" borderId="0" xfId="586" applyNumberFormat="1" applyFont="1" applyBorder="1" applyAlignment="1">
      <alignment horizontal="center"/>
      <protection/>
    </xf>
    <xf numFmtId="3" fontId="36" fillId="0" borderId="0" xfId="586" applyNumberFormat="1" applyFont="1" applyBorder="1" applyAlignment="1">
      <alignment horizontal="right"/>
      <protection/>
    </xf>
    <xf numFmtId="0" fontId="33" fillId="15" borderId="22" xfId="586" applyFont="1" applyFill="1" applyBorder="1">
      <alignment/>
      <protection/>
    </xf>
    <xf numFmtId="0" fontId="33" fillId="15" borderId="23" xfId="586" applyFont="1" applyFill="1" applyBorder="1">
      <alignment/>
      <protection/>
    </xf>
    <xf numFmtId="0" fontId="33" fillId="15" borderId="24" xfId="586" applyFont="1" applyFill="1" applyBorder="1">
      <alignment/>
      <protection/>
    </xf>
    <xf numFmtId="3" fontId="35" fillId="15" borderId="25" xfId="586" applyNumberFormat="1" applyFont="1" applyFill="1" applyBorder="1" applyAlignment="1">
      <alignment horizontal="right"/>
      <protection/>
    </xf>
    <xf numFmtId="4" fontId="35" fillId="15" borderId="25" xfId="586" applyNumberFormat="1" applyFont="1" applyFill="1" applyBorder="1" applyAlignment="1">
      <alignment horizontal="right"/>
      <protection/>
    </xf>
    <xf numFmtId="4" fontId="35" fillId="15" borderId="25" xfId="586" applyNumberFormat="1" applyFont="1" applyFill="1" applyBorder="1" applyAlignment="1">
      <alignment horizontal="center"/>
      <protection/>
    </xf>
    <xf numFmtId="4" fontId="35" fillId="15" borderId="26" xfId="586" applyNumberFormat="1" applyFont="1" applyFill="1" applyBorder="1" applyAlignment="1">
      <alignment horizontal="center"/>
      <protection/>
    </xf>
    <xf numFmtId="4" fontId="35" fillId="15" borderId="27" xfId="586" applyNumberFormat="1" applyFont="1" applyFill="1" applyBorder="1" applyAlignment="1">
      <alignment horizontal="right"/>
      <protection/>
    </xf>
    <xf numFmtId="4" fontId="35" fillId="15" borderId="24" xfId="586" applyNumberFormat="1" applyFont="1" applyFill="1" applyBorder="1" applyAlignment="1">
      <alignment horizontal="right"/>
      <protection/>
    </xf>
    <xf numFmtId="4" fontId="35" fillId="15" borderId="28" xfId="586" applyNumberFormat="1" applyFont="1" applyFill="1" applyBorder="1" applyAlignment="1">
      <alignment horizontal="right"/>
      <protection/>
    </xf>
    <xf numFmtId="4" fontId="35" fillId="0" borderId="0" xfId="586" applyNumberFormat="1" applyFont="1" applyFill="1" applyBorder="1" applyAlignment="1">
      <alignment horizontal="center"/>
      <protection/>
    </xf>
    <xf numFmtId="0" fontId="33" fillId="0" borderId="0" xfId="586" applyFont="1" applyFill="1" applyBorder="1">
      <alignment/>
      <protection/>
    </xf>
    <xf numFmtId="3" fontId="37" fillId="0" borderId="15" xfId="586" applyNumberFormat="1" applyFont="1" applyBorder="1" applyAlignment="1">
      <alignment horizontal="right"/>
      <protection/>
    </xf>
    <xf numFmtId="4" fontId="36" fillId="0" borderId="15" xfId="586" applyNumberFormat="1" applyFont="1" applyBorder="1" applyAlignment="1">
      <alignment horizontal="center"/>
      <protection/>
    </xf>
    <xf numFmtId="4" fontId="38" fillId="0" borderId="15" xfId="586" applyNumberFormat="1" applyFont="1" applyBorder="1" applyAlignment="1">
      <alignment horizontal="left"/>
      <protection/>
    </xf>
    <xf numFmtId="0" fontId="5" fillId="0" borderId="0" xfId="586" applyBorder="1">
      <alignment/>
      <protection/>
    </xf>
    <xf numFmtId="0" fontId="36" fillId="0" borderId="45" xfId="586" applyFont="1" applyBorder="1">
      <alignment/>
      <protection/>
    </xf>
    <xf numFmtId="0" fontId="36" fillId="0" borderId="18" xfId="586" applyFont="1" applyFill="1" applyBorder="1">
      <alignment/>
      <protection/>
    </xf>
    <xf numFmtId="0" fontId="36" fillId="0" borderId="36" xfId="586" applyFont="1" applyFill="1" applyBorder="1">
      <alignment/>
      <protection/>
    </xf>
    <xf numFmtId="4" fontId="36" fillId="0" borderId="17" xfId="586" applyNumberFormat="1" applyFont="1" applyBorder="1" applyAlignment="1">
      <alignment horizontal="right"/>
      <protection/>
    </xf>
    <xf numFmtId="4" fontId="36" fillId="0" borderId="36" xfId="586" applyNumberFormat="1" applyFont="1" applyBorder="1" applyAlignment="1">
      <alignment horizontal="right"/>
      <protection/>
    </xf>
    <xf numFmtId="4" fontId="36" fillId="0" borderId="37" xfId="586" applyNumberFormat="1" applyFont="1" applyBorder="1" applyAlignment="1">
      <alignment horizontal="right"/>
      <protection/>
    </xf>
    <xf numFmtId="3" fontId="35" fillId="4" borderId="41" xfId="586" applyNumberFormat="1" applyFont="1" applyFill="1" applyBorder="1" applyAlignment="1">
      <alignment horizontal="right"/>
      <protection/>
    </xf>
    <xf numFmtId="4" fontId="35" fillId="4" borderId="41" xfId="586" applyNumberFormat="1" applyFont="1" applyFill="1" applyBorder="1" applyAlignment="1">
      <alignment horizontal="right"/>
      <protection/>
    </xf>
    <xf numFmtId="4" fontId="35" fillId="4" borderId="41" xfId="586" applyNumberFormat="1" applyFont="1" applyFill="1" applyBorder="1" applyAlignment="1">
      <alignment horizontal="center"/>
      <protection/>
    </xf>
    <xf numFmtId="4" fontId="35" fillId="4" borderId="42" xfId="586" applyNumberFormat="1" applyFont="1" applyFill="1" applyBorder="1" applyAlignment="1">
      <alignment horizontal="center"/>
      <protection/>
    </xf>
    <xf numFmtId="4" fontId="35" fillId="4" borderId="43" xfId="586" applyNumberFormat="1" applyFont="1" applyFill="1" applyBorder="1" applyAlignment="1">
      <alignment horizontal="right"/>
      <protection/>
    </xf>
    <xf numFmtId="4" fontId="37" fillId="4" borderId="40" xfId="586" applyNumberFormat="1" applyFont="1" applyFill="1" applyBorder="1" applyAlignment="1">
      <alignment horizontal="right"/>
      <protection/>
    </xf>
    <xf numFmtId="4" fontId="37" fillId="4" borderId="44" xfId="586" applyNumberFormat="1" applyFont="1" applyFill="1" applyBorder="1" applyAlignment="1">
      <alignment horizontal="right"/>
      <protection/>
    </xf>
    <xf numFmtId="0" fontId="36" fillId="0" borderId="0" xfId="586" applyFont="1" applyFill="1" applyBorder="1">
      <alignment/>
      <protection/>
    </xf>
    <xf numFmtId="3" fontId="37" fillId="0" borderId="0" xfId="586" applyNumberFormat="1" applyFont="1" applyBorder="1" applyAlignment="1">
      <alignment horizontal="right"/>
      <protection/>
    </xf>
    <xf numFmtId="2" fontId="36" fillId="0" borderId="0" xfId="586" applyNumberFormat="1" applyFont="1" applyBorder="1" applyAlignment="1">
      <alignment horizontal="center"/>
      <protection/>
    </xf>
    <xf numFmtId="2" fontId="36" fillId="0" borderId="0" xfId="586" applyNumberFormat="1" applyFont="1" applyFill="1" applyBorder="1" applyAlignment="1">
      <alignment horizontal="center"/>
      <protection/>
    </xf>
    <xf numFmtId="2" fontId="31" fillId="0" borderId="0" xfId="586" applyNumberFormat="1" applyFont="1" applyFill="1" applyBorder="1" applyAlignment="1">
      <alignment horizontal="center" vertical="center"/>
      <protection/>
    </xf>
    <xf numFmtId="4" fontId="31" fillId="0" borderId="0" xfId="586" applyNumberFormat="1" applyFont="1" applyFill="1" applyBorder="1" applyAlignment="1">
      <alignment horizontal="center" vertical="top"/>
      <protection/>
    </xf>
    <xf numFmtId="0" fontId="33" fillId="15" borderId="34" xfId="586" applyFont="1" applyFill="1" applyBorder="1">
      <alignment/>
      <protection/>
    </xf>
    <xf numFmtId="0" fontId="33" fillId="15" borderId="14" xfId="586" applyFont="1" applyFill="1" applyBorder="1">
      <alignment/>
      <protection/>
    </xf>
    <xf numFmtId="0" fontId="33" fillId="15" borderId="32" xfId="586" applyFont="1" applyFill="1" applyBorder="1">
      <alignment/>
      <protection/>
    </xf>
    <xf numFmtId="3" fontId="35" fillId="15" borderId="15" xfId="586" applyNumberFormat="1" applyFont="1" applyFill="1" applyBorder="1" applyAlignment="1">
      <alignment horizontal="right"/>
      <protection/>
    </xf>
    <xf numFmtId="4" fontId="35" fillId="15" borderId="15" xfId="586" applyNumberFormat="1" applyFont="1" applyFill="1" applyBorder="1" applyAlignment="1">
      <alignment horizontal="right"/>
      <protection/>
    </xf>
    <xf numFmtId="4" fontId="35" fillId="15" borderId="13" xfId="586" applyNumberFormat="1" applyFont="1" applyFill="1" applyBorder="1" applyAlignment="1">
      <alignment horizontal="right"/>
      <protection/>
    </xf>
    <xf numFmtId="4" fontId="35" fillId="15" borderId="31" xfId="586" applyNumberFormat="1" applyFont="1" applyFill="1" applyBorder="1" applyAlignment="1">
      <alignment horizontal="right"/>
      <protection/>
    </xf>
    <xf numFmtId="4" fontId="35" fillId="15" borderId="32" xfId="586" applyNumberFormat="1" applyFont="1" applyFill="1" applyBorder="1" applyAlignment="1">
      <alignment horizontal="right"/>
      <protection/>
    </xf>
    <xf numFmtId="4" fontId="35" fillId="15" borderId="33" xfId="586" applyNumberFormat="1" applyFont="1" applyFill="1" applyBorder="1" applyAlignment="1">
      <alignment horizontal="right"/>
      <protection/>
    </xf>
    <xf numFmtId="4" fontId="35" fillId="0" borderId="0" xfId="586" applyNumberFormat="1" applyFont="1" applyFill="1" applyBorder="1" applyAlignment="1">
      <alignment horizontal="right"/>
      <protection/>
    </xf>
    <xf numFmtId="4" fontId="36" fillId="0" borderId="15" xfId="586" applyNumberFormat="1" applyFont="1" applyBorder="1" applyAlignment="1">
      <alignment horizontal="right"/>
      <protection/>
    </xf>
    <xf numFmtId="0" fontId="36" fillId="0" borderId="39" xfId="586" applyFont="1" applyFill="1" applyBorder="1">
      <alignment/>
      <protection/>
    </xf>
    <xf numFmtId="0" fontId="36" fillId="0" borderId="40" xfId="586" applyFont="1" applyFill="1" applyBorder="1">
      <alignment/>
      <protection/>
    </xf>
    <xf numFmtId="3" fontId="36" fillId="0" borderId="41" xfId="586" applyNumberFormat="1" applyFont="1" applyFill="1" applyBorder="1" applyAlignment="1">
      <alignment horizontal="right"/>
      <protection/>
    </xf>
    <xf numFmtId="3" fontId="37" fillId="0" borderId="41" xfId="586" applyNumberFormat="1" applyFont="1" applyFill="1" applyBorder="1" applyAlignment="1">
      <alignment horizontal="right"/>
      <protection/>
    </xf>
    <xf numFmtId="4" fontId="36" fillId="0" borderId="41" xfId="586" applyNumberFormat="1" applyFont="1" applyBorder="1" applyAlignment="1">
      <alignment horizontal="right"/>
      <protection/>
    </xf>
    <xf numFmtId="2" fontId="39" fillId="0" borderId="0" xfId="586" applyNumberFormat="1" applyFont="1" applyBorder="1" applyAlignment="1">
      <alignment horizontal="left"/>
      <protection/>
    </xf>
    <xf numFmtId="3" fontId="36" fillId="0" borderId="0" xfId="586" applyNumberFormat="1" applyFont="1" applyFill="1" applyBorder="1">
      <alignment/>
      <protection/>
    </xf>
    <xf numFmtId="3" fontId="37" fillId="0" borderId="0" xfId="586" applyNumberFormat="1" applyFont="1" applyFill="1" applyBorder="1">
      <alignment/>
      <protection/>
    </xf>
    <xf numFmtId="4" fontId="35" fillId="15" borderId="26" xfId="586" applyNumberFormat="1" applyFont="1" applyFill="1" applyBorder="1" applyAlignment="1">
      <alignment horizontal="right"/>
      <protection/>
    </xf>
    <xf numFmtId="3" fontId="36" fillId="0" borderId="16" xfId="586" applyNumberFormat="1" applyFont="1" applyFill="1" applyBorder="1" applyAlignment="1">
      <alignment horizontal="right"/>
      <protection/>
    </xf>
    <xf numFmtId="3" fontId="36" fillId="0" borderId="16" xfId="586" applyNumberFormat="1" applyFont="1" applyBorder="1" applyAlignment="1">
      <alignment horizontal="right"/>
      <protection/>
    </xf>
    <xf numFmtId="3" fontId="37" fillId="0" borderId="16" xfId="586" applyNumberFormat="1" applyFont="1" applyFill="1" applyBorder="1" applyAlignment="1">
      <alignment horizontal="right"/>
      <protection/>
    </xf>
    <xf numFmtId="4" fontId="36" fillId="0" borderId="16" xfId="586" applyNumberFormat="1" applyFont="1" applyBorder="1" applyAlignment="1">
      <alignment horizontal="right"/>
      <protection/>
    </xf>
    <xf numFmtId="4" fontId="36" fillId="0" borderId="46" xfId="586" applyNumberFormat="1" applyFont="1" applyBorder="1" applyAlignment="1">
      <alignment horizontal="right"/>
      <protection/>
    </xf>
    <xf numFmtId="4" fontId="36" fillId="9" borderId="47" xfId="586" applyNumberFormat="1" applyFont="1" applyFill="1" applyBorder="1" applyAlignment="1">
      <alignment horizontal="right"/>
      <protection/>
    </xf>
    <xf numFmtId="4" fontId="36" fillId="0" borderId="48" xfId="586" applyNumberFormat="1" applyFont="1" applyBorder="1" applyAlignment="1">
      <alignment horizontal="right"/>
      <protection/>
    </xf>
    <xf numFmtId="4" fontId="36" fillId="0" borderId="49" xfId="586" applyNumberFormat="1" applyFont="1" applyBorder="1" applyAlignment="1">
      <alignment horizontal="right"/>
      <protection/>
    </xf>
    <xf numFmtId="1" fontId="36" fillId="0" borderId="0" xfId="586" applyNumberFormat="1" applyFont="1" applyFill="1" applyBorder="1" applyAlignment="1">
      <alignment horizontal="left"/>
      <protection/>
    </xf>
    <xf numFmtId="1" fontId="36" fillId="0" borderId="0" xfId="586" applyNumberFormat="1" applyFont="1" applyFill="1" applyBorder="1" applyAlignment="1">
      <alignment horizontal="right"/>
      <protection/>
    </xf>
    <xf numFmtId="3" fontId="40" fillId="0" borderId="15" xfId="586" applyNumberFormat="1" applyFont="1" applyBorder="1" applyAlignment="1">
      <alignment horizontal="right"/>
      <protection/>
    </xf>
    <xf numFmtId="3" fontId="37" fillId="0" borderId="41" xfId="586" applyNumberFormat="1" applyFont="1" applyBorder="1" applyAlignment="1">
      <alignment horizontal="right"/>
      <protection/>
    </xf>
    <xf numFmtId="4" fontId="36" fillId="0" borderId="50" xfId="586" applyNumberFormat="1" applyFont="1" applyBorder="1" applyAlignment="1">
      <alignment horizontal="right"/>
      <protection/>
    </xf>
    <xf numFmtId="2" fontId="41" fillId="0" borderId="0" xfId="586" applyNumberFormat="1" applyFont="1" applyBorder="1" applyAlignment="1">
      <alignment horizontal="left"/>
      <protection/>
    </xf>
    <xf numFmtId="3" fontId="36" fillId="0" borderId="21" xfId="586" applyNumberFormat="1" applyFont="1" applyFill="1" applyBorder="1" applyAlignment="1">
      <alignment horizontal="right"/>
      <protection/>
    </xf>
    <xf numFmtId="3" fontId="37" fillId="0" borderId="21" xfId="586" applyNumberFormat="1" applyFont="1" applyFill="1" applyBorder="1" applyAlignment="1">
      <alignment horizontal="right"/>
      <protection/>
    </xf>
    <xf numFmtId="4" fontId="36" fillId="0" borderId="32" xfId="586" applyNumberFormat="1" applyFont="1" applyFill="1" applyBorder="1" applyAlignment="1">
      <alignment horizontal="right"/>
      <protection/>
    </xf>
    <xf numFmtId="4" fontId="36" fillId="0" borderId="20" xfId="586" applyNumberFormat="1" applyFont="1" applyFill="1" applyBorder="1" applyAlignment="1">
      <alignment horizontal="right"/>
      <protection/>
    </xf>
    <xf numFmtId="4" fontId="36" fillId="9" borderId="51" xfId="586" applyNumberFormat="1" applyFont="1" applyFill="1" applyBorder="1" applyAlignment="1">
      <alignment horizontal="right"/>
      <protection/>
    </xf>
    <xf numFmtId="4" fontId="36" fillId="0" borderId="30" xfId="586" applyNumberFormat="1" applyFont="1" applyFill="1" applyBorder="1" applyAlignment="1">
      <alignment horizontal="right"/>
      <protection/>
    </xf>
    <xf numFmtId="4" fontId="36" fillId="0" borderId="52" xfId="586" applyNumberFormat="1" applyFont="1" applyFill="1" applyBorder="1" applyAlignment="1">
      <alignment horizontal="right"/>
      <protection/>
    </xf>
    <xf numFmtId="0" fontId="36" fillId="0" borderId="45" xfId="586" applyFont="1" applyFill="1" applyBorder="1">
      <alignment/>
      <protection/>
    </xf>
    <xf numFmtId="4" fontId="36" fillId="0" borderId="13" xfId="586" applyNumberFormat="1" applyFont="1" applyFill="1" applyBorder="1" applyAlignment="1">
      <alignment horizontal="right"/>
      <protection/>
    </xf>
    <xf numFmtId="4" fontId="36" fillId="0" borderId="33" xfId="586" applyNumberFormat="1" applyFont="1" applyFill="1" applyBorder="1" applyAlignment="1">
      <alignment horizontal="right"/>
      <protection/>
    </xf>
    <xf numFmtId="0" fontId="36" fillId="0" borderId="18" xfId="586" applyFont="1" applyBorder="1">
      <alignment/>
      <protection/>
    </xf>
    <xf numFmtId="3" fontId="36" fillId="0" borderId="19" xfId="586" applyNumberFormat="1" applyFont="1" applyFill="1" applyBorder="1" applyAlignment="1">
      <alignment horizontal="right"/>
      <protection/>
    </xf>
    <xf numFmtId="3" fontId="37" fillId="0" borderId="19" xfId="586" applyNumberFormat="1" applyFont="1" applyFill="1" applyBorder="1" applyAlignment="1">
      <alignment horizontal="right"/>
      <protection/>
    </xf>
    <xf numFmtId="0" fontId="36" fillId="0" borderId="45" xfId="586" applyFont="1" applyBorder="1" applyAlignment="1">
      <alignment/>
      <protection/>
    </xf>
    <xf numFmtId="0" fontId="36" fillId="0" borderId="18" xfId="586" applyFont="1" applyBorder="1" applyAlignment="1">
      <alignment/>
      <protection/>
    </xf>
    <xf numFmtId="3" fontId="35" fillId="4" borderId="39" xfId="586" applyNumberFormat="1" applyFont="1" applyFill="1" applyBorder="1" applyAlignment="1">
      <alignment horizontal="right"/>
      <protection/>
    </xf>
    <xf numFmtId="4" fontId="35" fillId="4" borderId="40" xfId="586" applyNumberFormat="1" applyFont="1" applyFill="1" applyBorder="1" applyAlignment="1">
      <alignment horizontal="right"/>
      <protection/>
    </xf>
    <xf numFmtId="4" fontId="35" fillId="4" borderId="42" xfId="586" applyNumberFormat="1" applyFont="1" applyFill="1" applyBorder="1" applyAlignment="1">
      <alignment horizontal="right"/>
      <protection/>
    </xf>
    <xf numFmtId="4" fontId="35" fillId="4" borderId="44" xfId="586" applyNumberFormat="1" applyFont="1" applyFill="1" applyBorder="1" applyAlignment="1">
      <alignment horizontal="right"/>
      <protection/>
    </xf>
    <xf numFmtId="0" fontId="36" fillId="0" borderId="0" xfId="586" applyFont="1" applyBorder="1" applyAlignment="1">
      <alignment/>
      <protection/>
    </xf>
    <xf numFmtId="3" fontId="36" fillId="0" borderId="0" xfId="586" applyNumberFormat="1" applyFont="1" applyFill="1" applyBorder="1" applyAlignment="1">
      <alignment horizontal="right"/>
      <protection/>
    </xf>
    <xf numFmtId="3" fontId="37" fillId="0" borderId="0" xfId="586" applyNumberFormat="1" applyFont="1" applyFill="1" applyBorder="1" applyAlignment="1">
      <alignment horizontal="right"/>
      <protection/>
    </xf>
    <xf numFmtId="3" fontId="32" fillId="4" borderId="0" xfId="586" applyNumberFormat="1" applyFont="1" applyFill="1" applyBorder="1" applyAlignment="1">
      <alignment/>
      <protection/>
    </xf>
    <xf numFmtId="3" fontId="32" fillId="0" borderId="0" xfId="586" applyNumberFormat="1" applyFont="1" applyFill="1" applyBorder="1" applyAlignment="1">
      <alignment/>
      <protection/>
    </xf>
    <xf numFmtId="1" fontId="31" fillId="7" borderId="26" xfId="586" applyNumberFormat="1" applyFont="1" applyFill="1" applyBorder="1" applyAlignment="1">
      <alignment horizontal="center" vertical="center"/>
      <protection/>
    </xf>
    <xf numFmtId="3" fontId="36" fillId="0" borderId="15" xfId="586" applyNumberFormat="1" applyFont="1" applyFill="1" applyBorder="1" applyAlignment="1">
      <alignment horizontal="center"/>
      <protection/>
    </xf>
    <xf numFmtId="3" fontId="37" fillId="0" borderId="15" xfId="586" applyNumberFormat="1" applyFont="1" applyFill="1" applyBorder="1" applyAlignment="1">
      <alignment horizontal="center"/>
      <protection/>
    </xf>
    <xf numFmtId="4" fontId="36" fillId="0" borderId="15" xfId="586" applyNumberFormat="1" applyFont="1" applyFill="1" applyBorder="1" applyAlignment="1">
      <alignment horizontal="right"/>
      <protection/>
    </xf>
    <xf numFmtId="3" fontId="37" fillId="0" borderId="16" xfId="586" applyNumberFormat="1" applyFont="1" applyBorder="1" applyAlignment="1">
      <alignment horizontal="right"/>
      <protection/>
    </xf>
    <xf numFmtId="3" fontId="34" fillId="0" borderId="0" xfId="586" applyNumberFormat="1" applyFont="1" applyFill="1" applyBorder="1" applyAlignment="1">
      <alignment horizontal="right" vertical="top"/>
      <protection/>
    </xf>
    <xf numFmtId="3" fontId="36" fillId="0" borderId="15" xfId="586" applyNumberFormat="1" applyFont="1" applyFill="1" applyBorder="1">
      <alignment/>
      <protection/>
    </xf>
    <xf numFmtId="3" fontId="37" fillId="0" borderId="15" xfId="586" applyNumberFormat="1" applyFont="1" applyFill="1" applyBorder="1">
      <alignment/>
      <protection/>
    </xf>
    <xf numFmtId="3" fontId="34" fillId="0" borderId="0" xfId="586" applyNumberFormat="1" applyFont="1" applyFill="1" applyBorder="1" applyAlignment="1">
      <alignment horizontal="right"/>
      <protection/>
    </xf>
    <xf numFmtId="3" fontId="36" fillId="0" borderId="19" xfId="586" applyNumberFormat="1" applyFont="1" applyFill="1" applyBorder="1">
      <alignment/>
      <protection/>
    </xf>
    <xf numFmtId="3" fontId="37" fillId="0" borderId="19" xfId="586" applyNumberFormat="1" applyFont="1" applyFill="1" applyBorder="1">
      <alignment/>
      <protection/>
    </xf>
    <xf numFmtId="3" fontId="34" fillId="0" borderId="0" xfId="586" applyNumberFormat="1" applyFont="1" applyFill="1" applyBorder="1">
      <alignment/>
      <protection/>
    </xf>
    <xf numFmtId="3" fontId="33" fillId="0" borderId="0" xfId="586" applyNumberFormat="1" applyFont="1" applyFill="1" applyBorder="1" applyAlignment="1">
      <alignment horizontal="center"/>
      <protection/>
    </xf>
    <xf numFmtId="3" fontId="5" fillId="0" borderId="0" xfId="586" applyNumberFormat="1" applyFont="1" applyFill="1" applyBorder="1">
      <alignment/>
      <protection/>
    </xf>
    <xf numFmtId="4" fontId="36" fillId="0" borderId="19" xfId="586" applyNumberFormat="1" applyFont="1" applyFill="1" applyBorder="1" applyAlignment="1">
      <alignment horizontal="right"/>
      <protection/>
    </xf>
    <xf numFmtId="2" fontId="39" fillId="0" borderId="0" xfId="586" applyNumberFormat="1" applyFont="1" applyFill="1" applyBorder="1" applyAlignment="1">
      <alignment horizontal="left"/>
      <protection/>
    </xf>
    <xf numFmtId="4" fontId="36" fillId="0" borderId="32" xfId="586" applyNumberFormat="1" applyFont="1" applyFill="1" applyBorder="1" applyAlignment="1">
      <alignment horizontal="left"/>
      <protection/>
    </xf>
    <xf numFmtId="4" fontId="36" fillId="0" borderId="33" xfId="586" applyNumberFormat="1" applyFont="1" applyFill="1" applyBorder="1" applyAlignment="1">
      <alignment horizontal="left"/>
      <protection/>
    </xf>
    <xf numFmtId="0" fontId="36" fillId="0" borderId="38" xfId="586" applyFont="1" applyFill="1" applyBorder="1">
      <alignment/>
      <protection/>
    </xf>
    <xf numFmtId="3" fontId="36" fillId="0" borderId="53" xfId="586" applyNumberFormat="1" applyFont="1" applyFill="1" applyBorder="1">
      <alignment/>
      <protection/>
    </xf>
    <xf numFmtId="3" fontId="36" fillId="0" borderId="53" xfId="586" applyNumberFormat="1" applyFont="1" applyFill="1" applyBorder="1" applyAlignment="1">
      <alignment horizontal="right"/>
      <protection/>
    </xf>
    <xf numFmtId="3" fontId="37" fillId="0" borderId="53" xfId="586" applyNumberFormat="1" applyFont="1" applyFill="1" applyBorder="1">
      <alignment/>
      <protection/>
    </xf>
    <xf numFmtId="4" fontId="36" fillId="0" borderId="41" xfId="586" applyNumberFormat="1" applyFont="1" applyFill="1" applyBorder="1" applyAlignment="1">
      <alignment horizontal="right"/>
      <protection/>
    </xf>
    <xf numFmtId="4" fontId="36" fillId="0" borderId="42" xfId="586" applyNumberFormat="1" applyFont="1" applyFill="1" applyBorder="1" applyAlignment="1">
      <alignment horizontal="right"/>
      <protection/>
    </xf>
    <xf numFmtId="4" fontId="36" fillId="0" borderId="40" xfId="586" applyNumberFormat="1" applyFont="1" applyFill="1" applyBorder="1" applyAlignment="1">
      <alignment horizontal="right"/>
      <protection/>
    </xf>
    <xf numFmtId="4" fontId="36" fillId="0" borderId="44" xfId="586" applyNumberFormat="1" applyFont="1" applyFill="1" applyBorder="1" applyAlignment="1">
      <alignment horizontal="right"/>
      <protection/>
    </xf>
    <xf numFmtId="4" fontId="5" fillId="0" borderId="0" xfId="586" applyNumberFormat="1" applyFont="1" applyFill="1" applyBorder="1" applyAlignment="1">
      <alignment horizontal="right"/>
      <protection/>
    </xf>
    <xf numFmtId="2" fontId="5" fillId="0" borderId="0" xfId="586" applyNumberFormat="1" applyFont="1" applyFill="1" applyBorder="1" applyAlignment="1">
      <alignment horizontal="right"/>
      <protection/>
    </xf>
    <xf numFmtId="3" fontId="5" fillId="0" borderId="0" xfId="586" applyNumberFormat="1" applyFont="1" applyFill="1" applyBorder="1" applyAlignment="1">
      <alignment horizontal="right"/>
      <protection/>
    </xf>
    <xf numFmtId="3" fontId="31" fillId="15" borderId="25" xfId="586" applyNumberFormat="1" applyFont="1" applyFill="1" applyBorder="1">
      <alignment/>
      <protection/>
    </xf>
    <xf numFmtId="3" fontId="31" fillId="15" borderId="25" xfId="586" applyNumberFormat="1" applyFont="1" applyFill="1" applyBorder="1" applyAlignment="1">
      <alignment horizontal="right"/>
      <protection/>
    </xf>
    <xf numFmtId="4" fontId="36" fillId="15" borderId="25" xfId="586" applyNumberFormat="1" applyFont="1" applyFill="1" applyBorder="1" applyAlignment="1">
      <alignment horizontal="right"/>
      <protection/>
    </xf>
    <xf numFmtId="4" fontId="36" fillId="15" borderId="26" xfId="586" applyNumberFormat="1" applyFont="1" applyFill="1" applyBorder="1" applyAlignment="1">
      <alignment horizontal="right"/>
      <protection/>
    </xf>
    <xf numFmtId="2" fontId="37" fillId="15" borderId="27" xfId="586" applyNumberFormat="1" applyFont="1" applyFill="1" applyBorder="1" applyAlignment="1">
      <alignment horizontal="right"/>
      <protection/>
    </xf>
    <xf numFmtId="4" fontId="37" fillId="15" borderId="24" xfId="586" applyNumberFormat="1" applyFont="1" applyFill="1" applyBorder="1" applyAlignment="1">
      <alignment horizontal="right"/>
      <protection/>
    </xf>
    <xf numFmtId="4" fontId="37" fillId="15" borderId="28" xfId="586" applyNumberFormat="1" applyFont="1" applyFill="1" applyBorder="1" applyAlignment="1">
      <alignment horizontal="right"/>
      <protection/>
    </xf>
    <xf numFmtId="3" fontId="36" fillId="0" borderId="14" xfId="586" applyNumberFormat="1" applyFont="1" applyBorder="1" applyAlignment="1">
      <alignment horizontal="right"/>
      <protection/>
    </xf>
    <xf numFmtId="3" fontId="37" fillId="0" borderId="14" xfId="586" applyNumberFormat="1" applyFont="1" applyBorder="1" applyAlignment="1">
      <alignment horizontal="right"/>
      <protection/>
    </xf>
    <xf numFmtId="4" fontId="36" fillId="0" borderId="14" xfId="586" applyNumberFormat="1" applyFont="1" applyBorder="1" applyAlignment="1">
      <alignment horizontal="right"/>
      <protection/>
    </xf>
    <xf numFmtId="4" fontId="36" fillId="0" borderId="19" xfId="586" applyNumberFormat="1" applyFont="1" applyBorder="1">
      <alignment/>
      <protection/>
    </xf>
    <xf numFmtId="4" fontId="36" fillId="0" borderId="13" xfId="586" applyNumberFormat="1" applyFont="1" applyBorder="1">
      <alignment/>
      <protection/>
    </xf>
    <xf numFmtId="3" fontId="36" fillId="9" borderId="31" xfId="586" applyNumberFormat="1" applyFont="1" applyFill="1" applyBorder="1" applyAlignment="1">
      <alignment horizontal="right"/>
      <protection/>
    </xf>
    <xf numFmtId="4" fontId="36" fillId="0" borderId="36" xfId="586" applyNumberFormat="1" applyFont="1" applyBorder="1">
      <alignment/>
      <protection/>
    </xf>
    <xf numFmtId="4" fontId="36" fillId="0" borderId="37" xfId="586" applyNumberFormat="1" applyFont="1" applyBorder="1">
      <alignment/>
      <protection/>
    </xf>
    <xf numFmtId="4" fontId="36" fillId="0" borderId="0" xfId="586" applyNumberFormat="1" applyFont="1" applyFill="1" applyBorder="1">
      <alignment/>
      <protection/>
    </xf>
    <xf numFmtId="1" fontId="36" fillId="9" borderId="31" xfId="586" applyNumberFormat="1" applyFont="1" applyFill="1" applyBorder="1" applyAlignment="1">
      <alignment horizontal="right"/>
      <protection/>
    </xf>
    <xf numFmtId="4" fontId="42" fillId="0" borderId="0" xfId="586" applyNumberFormat="1" applyFont="1" applyFill="1" applyBorder="1" applyAlignment="1">
      <alignment horizontal="right"/>
      <protection/>
    </xf>
    <xf numFmtId="0" fontId="36" fillId="0" borderId="29" xfId="586" applyFont="1" applyFill="1" applyBorder="1">
      <alignment/>
      <protection/>
    </xf>
    <xf numFmtId="4" fontId="5" fillId="0" borderId="13" xfId="586" applyNumberFormat="1" applyFont="1" applyFill="1" applyBorder="1" applyAlignment="1">
      <alignment horizontal="right"/>
      <protection/>
    </xf>
    <xf numFmtId="1" fontId="5" fillId="9" borderId="31" xfId="586" applyNumberFormat="1" applyFont="1" applyFill="1" applyBorder="1" applyAlignment="1">
      <alignment horizontal="right"/>
      <protection/>
    </xf>
    <xf numFmtId="4" fontId="5" fillId="0" borderId="32" xfId="586" applyNumberFormat="1" applyFont="1" applyFill="1" applyBorder="1" applyAlignment="1">
      <alignment horizontal="right"/>
      <protection/>
    </xf>
    <xf numFmtId="4" fontId="5" fillId="0" borderId="33" xfId="586" applyNumberFormat="1" applyFont="1" applyFill="1" applyBorder="1" applyAlignment="1">
      <alignment horizontal="right"/>
      <protection/>
    </xf>
    <xf numFmtId="3" fontId="35" fillId="4" borderId="14" xfId="586" applyNumberFormat="1" applyFont="1" applyFill="1" applyBorder="1" applyAlignment="1">
      <alignment horizontal="right"/>
      <protection/>
    </xf>
    <xf numFmtId="3" fontId="35" fillId="4" borderId="15" xfId="586" applyNumberFormat="1" applyFont="1" applyFill="1" applyBorder="1" applyAlignment="1">
      <alignment horizontal="right"/>
      <protection/>
    </xf>
    <xf numFmtId="4" fontId="35" fillId="4" borderId="19" xfId="586" applyNumberFormat="1" applyFont="1" applyFill="1" applyBorder="1" applyAlignment="1">
      <alignment horizontal="right"/>
      <protection/>
    </xf>
    <xf numFmtId="4" fontId="35" fillId="4" borderId="17" xfId="586" applyNumberFormat="1" applyFont="1" applyFill="1" applyBorder="1" applyAlignment="1">
      <alignment horizontal="right"/>
      <protection/>
    </xf>
    <xf numFmtId="4" fontId="35" fillId="4" borderId="35" xfId="586" applyNumberFormat="1" applyFont="1" applyFill="1" applyBorder="1" applyAlignment="1">
      <alignment horizontal="right"/>
      <protection/>
    </xf>
    <xf numFmtId="4" fontId="35" fillId="4" borderId="36" xfId="586" applyNumberFormat="1" applyFont="1" applyFill="1" applyBorder="1" applyAlignment="1">
      <alignment horizontal="right"/>
      <protection/>
    </xf>
    <xf numFmtId="4" fontId="35" fillId="4" borderId="37" xfId="586" applyNumberFormat="1" applyFont="1" applyFill="1" applyBorder="1" applyAlignment="1">
      <alignment horizontal="right"/>
      <protection/>
    </xf>
    <xf numFmtId="0" fontId="31" fillId="3" borderId="54" xfId="586" applyFont="1" applyFill="1" applyBorder="1">
      <alignment/>
      <protection/>
    </xf>
    <xf numFmtId="0" fontId="31" fillId="3" borderId="55" xfId="586" applyFont="1" applyFill="1" applyBorder="1">
      <alignment/>
      <protection/>
    </xf>
    <xf numFmtId="0" fontId="31" fillId="3" borderId="56" xfId="586" applyFont="1" applyFill="1" applyBorder="1">
      <alignment/>
      <protection/>
    </xf>
    <xf numFmtId="3" fontId="37" fillId="3" borderId="57" xfId="586" applyNumberFormat="1" applyFont="1" applyFill="1" applyBorder="1" applyAlignment="1">
      <alignment horizontal="right"/>
      <protection/>
    </xf>
    <xf numFmtId="3" fontId="37" fillId="3" borderId="54" xfId="586" applyNumberFormat="1" applyFont="1" applyFill="1" applyBorder="1" applyAlignment="1">
      <alignment horizontal="right"/>
      <protection/>
    </xf>
    <xf numFmtId="4" fontId="37" fillId="3" borderId="57" xfId="586" applyNumberFormat="1" applyFont="1" applyFill="1" applyBorder="1" applyAlignment="1">
      <alignment horizontal="right"/>
      <protection/>
    </xf>
    <xf numFmtId="4" fontId="37" fillId="3" borderId="55" xfId="586" applyNumberFormat="1" applyFont="1" applyFill="1" applyBorder="1" applyAlignment="1">
      <alignment horizontal="right"/>
      <protection/>
    </xf>
    <xf numFmtId="4" fontId="37" fillId="3" borderId="56" xfId="586" applyNumberFormat="1" applyFont="1" applyFill="1" applyBorder="1" applyAlignment="1">
      <alignment horizontal="right"/>
      <protection/>
    </xf>
    <xf numFmtId="1" fontId="35" fillId="0" borderId="0" xfId="586" applyNumberFormat="1" applyFont="1" applyFill="1" applyBorder="1" applyAlignment="1">
      <alignment horizontal="right"/>
      <protection/>
    </xf>
    <xf numFmtId="0" fontId="31" fillId="7" borderId="23" xfId="586" applyFont="1" applyFill="1" applyBorder="1" applyAlignment="1">
      <alignment vertical="top"/>
      <protection/>
    </xf>
    <xf numFmtId="0" fontId="31" fillId="7" borderId="24" xfId="586" applyFont="1" applyFill="1" applyBorder="1" applyAlignment="1">
      <alignment horizontal="center"/>
      <protection/>
    </xf>
    <xf numFmtId="4" fontId="31" fillId="7" borderId="25" xfId="586" applyNumberFormat="1" applyFont="1" applyFill="1" applyBorder="1" applyAlignment="1">
      <alignment horizontal="justify" vertical="top"/>
      <protection/>
    </xf>
    <xf numFmtId="2" fontId="31" fillId="7" borderId="58" xfId="586" applyNumberFormat="1" applyFont="1" applyFill="1" applyBorder="1" applyAlignment="1">
      <alignment horizontal="justify" vertical="center"/>
      <protection/>
    </xf>
    <xf numFmtId="1" fontId="31" fillId="7" borderId="59" xfId="586" applyNumberFormat="1" applyFont="1" applyFill="1" applyBorder="1" applyAlignment="1">
      <alignment horizontal="center" vertical="center"/>
      <protection/>
    </xf>
    <xf numFmtId="1" fontId="31" fillId="7" borderId="60" xfId="586" applyNumberFormat="1" applyFont="1" applyFill="1" applyBorder="1" applyAlignment="1">
      <alignment horizontal="center" vertical="center"/>
      <protection/>
    </xf>
    <xf numFmtId="0" fontId="31" fillId="7" borderId="23" xfId="586" applyFont="1" applyFill="1" applyBorder="1" applyAlignment="1">
      <alignment horizontal="center" vertical="center"/>
      <protection/>
    </xf>
    <xf numFmtId="0" fontId="36" fillId="0" borderId="32" xfId="586" applyFont="1" applyBorder="1" applyAlignment="1">
      <alignment horizontal="left"/>
      <protection/>
    </xf>
    <xf numFmtId="4" fontId="36" fillId="0" borderId="17" xfId="586" applyNumberFormat="1" applyFont="1" applyBorder="1">
      <alignment/>
      <protection/>
    </xf>
    <xf numFmtId="4" fontId="36" fillId="9" borderId="35" xfId="586" applyNumberFormat="1" applyFont="1" applyFill="1" applyBorder="1">
      <alignment/>
      <protection/>
    </xf>
    <xf numFmtId="0" fontId="36" fillId="0" borderId="36" xfId="586" applyFont="1" applyBorder="1" applyAlignment="1">
      <alignment horizontal="left"/>
      <protection/>
    </xf>
    <xf numFmtId="4" fontId="36" fillId="9" borderId="31" xfId="586" applyNumberFormat="1" applyFont="1" applyFill="1" applyBorder="1">
      <alignment/>
      <protection/>
    </xf>
    <xf numFmtId="4" fontId="36" fillId="0" borderId="18" xfId="586" applyNumberFormat="1" applyFont="1" applyBorder="1">
      <alignment/>
      <protection/>
    </xf>
    <xf numFmtId="4" fontId="35" fillId="4" borderId="41" xfId="586" applyNumberFormat="1" applyFont="1" applyFill="1" applyBorder="1">
      <alignment/>
      <protection/>
    </xf>
    <xf numFmtId="4" fontId="35" fillId="4" borderId="42" xfId="586" applyNumberFormat="1" applyFont="1" applyFill="1" applyBorder="1">
      <alignment/>
      <protection/>
    </xf>
    <xf numFmtId="4" fontId="35" fillId="4" borderId="43" xfId="586" applyNumberFormat="1" applyFont="1" applyFill="1" applyBorder="1">
      <alignment/>
      <protection/>
    </xf>
    <xf numFmtId="4" fontId="35" fillId="4" borderId="39" xfId="586" applyNumberFormat="1" applyFont="1" applyFill="1" applyBorder="1">
      <alignment/>
      <protection/>
    </xf>
    <xf numFmtId="4" fontId="35" fillId="4" borderId="44" xfId="586" applyNumberFormat="1" applyFont="1" applyFill="1" applyBorder="1">
      <alignment/>
      <protection/>
    </xf>
    <xf numFmtId="4" fontId="35" fillId="0" borderId="0" xfId="586" applyNumberFormat="1" applyFont="1" applyFill="1" applyBorder="1">
      <alignment/>
      <protection/>
    </xf>
    <xf numFmtId="0" fontId="36" fillId="0" borderId="0" xfId="586" applyFont="1" applyBorder="1" applyAlignment="1">
      <alignment horizontal="left"/>
      <protection/>
    </xf>
    <xf numFmtId="4" fontId="36" fillId="0" borderId="14" xfId="586" applyNumberFormat="1" applyFont="1" applyBorder="1">
      <alignment/>
      <protection/>
    </xf>
    <xf numFmtId="0" fontId="5" fillId="0" borderId="0" xfId="586">
      <alignment/>
      <protection/>
    </xf>
    <xf numFmtId="10" fontId="5" fillId="0" borderId="0" xfId="586" applyNumberFormat="1" applyFont="1" applyBorder="1">
      <alignment/>
      <protection/>
    </xf>
    <xf numFmtId="4" fontId="36" fillId="0" borderId="15" xfId="586" applyNumberFormat="1" applyFont="1" applyBorder="1">
      <alignment/>
      <protection/>
    </xf>
    <xf numFmtId="4" fontId="36" fillId="0" borderId="20" xfId="586" applyNumberFormat="1" applyFont="1" applyBorder="1">
      <alignment/>
      <protection/>
    </xf>
    <xf numFmtId="4" fontId="36" fillId="0" borderId="33" xfId="586" applyNumberFormat="1" applyFont="1" applyBorder="1">
      <alignment/>
      <protection/>
    </xf>
    <xf numFmtId="4" fontId="36" fillId="0" borderId="21" xfId="586" applyNumberFormat="1" applyFont="1" applyBorder="1">
      <alignment/>
      <protection/>
    </xf>
    <xf numFmtId="4" fontId="36" fillId="0" borderId="46" xfId="586" applyNumberFormat="1" applyFont="1" applyBorder="1">
      <alignment/>
      <protection/>
    </xf>
    <xf numFmtId="4" fontId="36" fillId="0" borderId="0" xfId="586" applyNumberFormat="1" applyFont="1" applyBorder="1" applyAlignment="1">
      <alignment horizontal="right"/>
      <protection/>
    </xf>
    <xf numFmtId="4" fontId="35" fillId="4" borderId="19" xfId="586" applyNumberFormat="1" applyFont="1" applyFill="1" applyBorder="1">
      <alignment/>
      <protection/>
    </xf>
    <xf numFmtId="4" fontId="35" fillId="4" borderId="17" xfId="586" applyNumberFormat="1" applyFont="1" applyFill="1" applyBorder="1">
      <alignment/>
      <protection/>
    </xf>
    <xf numFmtId="4" fontId="35" fillId="4" borderId="18" xfId="586" applyNumberFormat="1" applyFont="1" applyFill="1" applyBorder="1" applyAlignment="1">
      <alignment horizontal="right"/>
      <protection/>
    </xf>
    <xf numFmtId="4" fontId="35" fillId="4" borderId="37" xfId="586" applyNumberFormat="1" applyFont="1" applyFill="1" applyBorder="1">
      <alignment/>
      <protection/>
    </xf>
    <xf numFmtId="0" fontId="5" fillId="3" borderId="55" xfId="586" applyFont="1" applyFill="1" applyBorder="1">
      <alignment/>
      <protection/>
    </xf>
    <xf numFmtId="4" fontId="37" fillId="3" borderId="57" xfId="586" applyNumberFormat="1" applyFont="1" applyFill="1" applyBorder="1">
      <alignment/>
      <protection/>
    </xf>
    <xf numFmtId="4" fontId="37" fillId="3" borderId="54" xfId="586" applyNumberFormat="1" applyFont="1" applyFill="1" applyBorder="1">
      <alignment/>
      <protection/>
    </xf>
    <xf numFmtId="4" fontId="37" fillId="0" borderId="0" xfId="586" applyNumberFormat="1" applyFont="1" applyFill="1" applyBorder="1">
      <alignment/>
      <protection/>
    </xf>
    <xf numFmtId="0" fontId="32" fillId="0" borderId="0" xfId="586" applyFont="1" applyFill="1" applyBorder="1">
      <alignment/>
      <protection/>
    </xf>
    <xf numFmtId="0" fontId="31" fillId="4" borderId="0" xfId="586" applyFont="1" applyFill="1" applyBorder="1" applyAlignment="1">
      <alignment/>
      <protection/>
    </xf>
    <xf numFmtId="0" fontId="31" fillId="0" borderId="0" xfId="586" applyFont="1" applyFill="1" applyBorder="1" applyAlignment="1">
      <alignment/>
      <protection/>
    </xf>
    <xf numFmtId="0" fontId="36" fillId="0" borderId="15" xfId="586" applyFont="1" applyBorder="1">
      <alignment/>
      <protection/>
    </xf>
    <xf numFmtId="4" fontId="36" fillId="0" borderId="32" xfId="586" applyNumberFormat="1" applyFont="1" applyBorder="1">
      <alignment/>
      <protection/>
    </xf>
    <xf numFmtId="0" fontId="36" fillId="0" borderId="16" xfId="586" applyFont="1" applyBorder="1">
      <alignment/>
      <protection/>
    </xf>
    <xf numFmtId="4" fontId="36" fillId="0" borderId="48" xfId="586" applyNumberFormat="1" applyFont="1" applyBorder="1">
      <alignment/>
      <protection/>
    </xf>
    <xf numFmtId="4" fontId="36" fillId="0" borderId="49" xfId="586" applyNumberFormat="1" applyFont="1" applyBorder="1">
      <alignment/>
      <protection/>
    </xf>
    <xf numFmtId="0" fontId="36" fillId="0" borderId="36" xfId="586" applyFont="1" applyBorder="1">
      <alignment/>
      <protection/>
    </xf>
    <xf numFmtId="0" fontId="36" fillId="0" borderId="21" xfId="586" applyFont="1" applyBorder="1">
      <alignment/>
      <protection/>
    </xf>
    <xf numFmtId="4" fontId="36" fillId="0" borderId="30" xfId="586" applyNumberFormat="1" applyFont="1" applyBorder="1">
      <alignment/>
      <protection/>
    </xf>
    <xf numFmtId="4" fontId="36" fillId="0" borderId="52" xfId="586" applyNumberFormat="1" applyFont="1" applyBorder="1">
      <alignment/>
      <protection/>
    </xf>
    <xf numFmtId="0" fontId="34" fillId="4" borderId="38" xfId="586" applyFont="1" applyFill="1" applyBorder="1">
      <alignment/>
      <protection/>
    </xf>
    <xf numFmtId="0" fontId="34" fillId="4" borderId="39" xfId="586" applyFont="1" applyFill="1" applyBorder="1">
      <alignment/>
      <protection/>
    </xf>
    <xf numFmtId="0" fontId="34" fillId="4" borderId="40" xfId="586" applyFont="1" applyFill="1" applyBorder="1">
      <alignment/>
      <protection/>
    </xf>
    <xf numFmtId="0" fontId="35" fillId="4" borderId="41" xfId="586" applyFont="1" applyFill="1" applyBorder="1">
      <alignment/>
      <protection/>
    </xf>
    <xf numFmtId="4" fontId="35" fillId="4" borderId="40" xfId="586" applyNumberFormat="1" applyFont="1" applyFill="1" applyBorder="1">
      <alignment/>
      <protection/>
    </xf>
    <xf numFmtId="0" fontId="37" fillId="0" borderId="0" xfId="586" applyFont="1" applyBorder="1" applyAlignment="1">
      <alignment horizontal="left"/>
      <protection/>
    </xf>
    <xf numFmtId="0" fontId="31" fillId="0" borderId="0" xfId="586" applyFont="1" applyFill="1" applyBorder="1">
      <alignment/>
      <protection/>
    </xf>
    <xf numFmtId="4" fontId="31" fillId="0" borderId="0" xfId="586" applyNumberFormat="1" applyFont="1" applyFill="1" applyBorder="1">
      <alignment/>
      <protection/>
    </xf>
    <xf numFmtId="4" fontId="36" fillId="0" borderId="15" xfId="586" applyNumberFormat="1" applyFont="1" applyFill="1" applyBorder="1">
      <alignment/>
      <protection/>
    </xf>
    <xf numFmtId="4" fontId="36" fillId="0" borderId="33" xfId="586" applyNumberFormat="1" applyFont="1" applyFill="1" applyBorder="1">
      <alignment/>
      <protection/>
    </xf>
    <xf numFmtId="3" fontId="36" fillId="0" borderId="21" xfId="586" applyNumberFormat="1" applyFont="1" applyBorder="1">
      <alignment/>
      <protection/>
    </xf>
    <xf numFmtId="4" fontId="36" fillId="0" borderId="18" xfId="586" applyNumberFormat="1" applyFont="1" applyBorder="1" applyAlignment="1">
      <alignment horizontal="right"/>
      <protection/>
    </xf>
    <xf numFmtId="0" fontId="34" fillId="4" borderId="34" xfId="586" applyFont="1" applyFill="1" applyBorder="1">
      <alignment/>
      <protection/>
    </xf>
    <xf numFmtId="0" fontId="34" fillId="4" borderId="14" xfId="586" applyFont="1" applyFill="1" applyBorder="1">
      <alignment/>
      <protection/>
    </xf>
    <xf numFmtId="0" fontId="34" fillId="4" borderId="32" xfId="586" applyFont="1" applyFill="1" applyBorder="1">
      <alignment/>
      <protection/>
    </xf>
    <xf numFmtId="4" fontId="35" fillId="4" borderId="31" xfId="586" applyNumberFormat="1" applyFont="1" applyFill="1" applyBorder="1">
      <alignment/>
      <protection/>
    </xf>
    <xf numFmtId="4" fontId="35" fillId="4" borderId="14" xfId="586" applyNumberFormat="1" applyFont="1" applyFill="1" applyBorder="1">
      <alignment/>
      <protection/>
    </xf>
    <xf numFmtId="3" fontId="31" fillId="0" borderId="0" xfId="586" applyNumberFormat="1" applyFont="1" applyFill="1" applyBorder="1" applyAlignment="1">
      <alignment horizontal="right"/>
      <protection/>
    </xf>
    <xf numFmtId="2" fontId="31" fillId="0" borderId="0" xfId="586" applyNumberFormat="1" applyFont="1" applyFill="1" applyBorder="1" applyAlignment="1">
      <alignment horizontal="center"/>
      <protection/>
    </xf>
    <xf numFmtId="0" fontId="37" fillId="0" borderId="0" xfId="586" applyFont="1" applyBorder="1">
      <alignment/>
      <protection/>
    </xf>
    <xf numFmtId="0" fontId="36" fillId="3" borderId="0" xfId="586" applyFont="1" applyFill="1" applyBorder="1">
      <alignment/>
      <protection/>
    </xf>
    <xf numFmtId="2" fontId="36" fillId="3" borderId="0" xfId="586" applyNumberFormat="1" applyFont="1" applyFill="1" applyBorder="1" applyAlignment="1">
      <alignment horizontal="center"/>
      <protection/>
    </xf>
    <xf numFmtId="0" fontId="5" fillId="3" borderId="0" xfId="586" applyFont="1" applyFill="1" applyBorder="1">
      <alignment/>
      <protection/>
    </xf>
    <xf numFmtId="3" fontId="31" fillId="7" borderId="26" xfId="586" applyNumberFormat="1" applyFont="1" applyFill="1" applyBorder="1" applyAlignment="1">
      <alignment horizontal="center" vertical="center"/>
      <protection/>
    </xf>
    <xf numFmtId="3" fontId="36" fillId="0" borderId="19" xfId="586" applyNumberFormat="1" applyFont="1" applyBorder="1">
      <alignment/>
      <protection/>
    </xf>
    <xf numFmtId="4" fontId="36" fillId="0" borderId="41" xfId="586" applyNumberFormat="1" applyFont="1" applyBorder="1">
      <alignment/>
      <protection/>
    </xf>
    <xf numFmtId="4" fontId="36" fillId="0" borderId="42" xfId="586" applyNumberFormat="1" applyFont="1" applyBorder="1">
      <alignment/>
      <protection/>
    </xf>
    <xf numFmtId="4" fontId="36" fillId="9" borderId="43" xfId="586" applyNumberFormat="1" applyFont="1" applyFill="1" applyBorder="1">
      <alignment/>
      <protection/>
    </xf>
    <xf numFmtId="4" fontId="36" fillId="0" borderId="39" xfId="586" applyNumberFormat="1" applyFont="1" applyBorder="1">
      <alignment/>
      <protection/>
    </xf>
    <xf numFmtId="4" fontId="36" fillId="0" borderId="44" xfId="586" applyNumberFormat="1" applyFont="1" applyBorder="1">
      <alignment/>
      <protection/>
    </xf>
    <xf numFmtId="0" fontId="31" fillId="3" borderId="61" xfId="586" applyFont="1" applyFill="1" applyBorder="1">
      <alignment/>
      <protection/>
    </xf>
    <xf numFmtId="0" fontId="5" fillId="3" borderId="53" xfId="586" applyFont="1" applyFill="1" applyBorder="1">
      <alignment/>
      <protection/>
    </xf>
    <xf numFmtId="0" fontId="31" fillId="3" borderId="62" xfId="586" applyFont="1" applyFill="1" applyBorder="1">
      <alignment/>
      <protection/>
    </xf>
    <xf numFmtId="4" fontId="37" fillId="3" borderId="63" xfId="586" applyNumberFormat="1" applyFont="1" applyFill="1" applyBorder="1">
      <alignment/>
      <protection/>
    </xf>
    <xf numFmtId="3" fontId="37" fillId="3" borderId="63" xfId="586" applyNumberFormat="1" applyFont="1" applyFill="1" applyBorder="1">
      <alignment/>
      <protection/>
    </xf>
    <xf numFmtId="4" fontId="37" fillId="3" borderId="61" xfId="586" applyNumberFormat="1" applyFont="1" applyFill="1" applyBorder="1" applyAlignment="1">
      <alignment horizontal="right"/>
      <protection/>
    </xf>
    <xf numFmtId="4" fontId="36" fillId="3" borderId="63" xfId="586" applyNumberFormat="1" applyFont="1" applyFill="1" applyBorder="1">
      <alignment/>
      <protection/>
    </xf>
    <xf numFmtId="0" fontId="5" fillId="0" borderId="34" xfId="586" applyFont="1" applyBorder="1">
      <alignment/>
      <protection/>
    </xf>
    <xf numFmtId="0" fontId="5" fillId="0" borderId="14" xfId="586" applyFont="1" applyBorder="1">
      <alignment/>
      <protection/>
    </xf>
    <xf numFmtId="0" fontId="5" fillId="0" borderId="32" xfId="586" applyFont="1" applyBorder="1">
      <alignment/>
      <protection/>
    </xf>
    <xf numFmtId="4" fontId="39" fillId="0" borderId="0" xfId="586" applyNumberFormat="1" applyFont="1" applyBorder="1">
      <alignment/>
      <protection/>
    </xf>
    <xf numFmtId="4" fontId="41" fillId="0" borderId="0" xfId="586" applyNumberFormat="1" applyFont="1" applyBorder="1">
      <alignment/>
      <protection/>
    </xf>
    <xf numFmtId="4" fontId="36" fillId="0" borderId="16" xfId="586" applyNumberFormat="1" applyFont="1" applyBorder="1">
      <alignment/>
      <protection/>
    </xf>
    <xf numFmtId="4" fontId="36" fillId="9" borderId="47" xfId="586" applyNumberFormat="1" applyFont="1" applyFill="1" applyBorder="1">
      <alignment/>
      <protection/>
    </xf>
    <xf numFmtId="0" fontId="31" fillId="4" borderId="38" xfId="586" applyFont="1" applyFill="1" applyBorder="1">
      <alignment/>
      <protection/>
    </xf>
    <xf numFmtId="0" fontId="5" fillId="4" borderId="39" xfId="586" applyFont="1" applyFill="1" applyBorder="1">
      <alignment/>
      <protection/>
    </xf>
    <xf numFmtId="0" fontId="5" fillId="4" borderId="40" xfId="586" applyFont="1" applyFill="1" applyBorder="1">
      <alignment/>
      <protection/>
    </xf>
    <xf numFmtId="4" fontId="36" fillId="4" borderId="50" xfId="586" applyNumberFormat="1" applyFont="1" applyFill="1" applyBorder="1">
      <alignment/>
      <protection/>
    </xf>
    <xf numFmtId="4" fontId="36" fillId="4" borderId="64" xfId="586" applyNumberFormat="1" applyFont="1" applyFill="1" applyBorder="1">
      <alignment/>
      <protection/>
    </xf>
    <xf numFmtId="4" fontId="36" fillId="4" borderId="63" xfId="586" applyNumberFormat="1" applyFont="1" applyFill="1" applyBorder="1">
      <alignment/>
      <protection/>
    </xf>
    <xf numFmtId="4" fontId="36" fillId="4" borderId="39" xfId="586" applyNumberFormat="1" applyFont="1" applyFill="1" applyBorder="1" applyAlignment="1">
      <alignment horizontal="right"/>
      <protection/>
    </xf>
    <xf numFmtId="4" fontId="36" fillId="4" borderId="65" xfId="586" applyNumberFormat="1" applyFont="1" applyFill="1" applyBorder="1">
      <alignment/>
      <protection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174" fontId="4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45" fillId="0" borderId="0" xfId="0" applyNumberFormat="1" applyFont="1" applyAlignment="1">
      <alignment/>
    </xf>
    <xf numFmtId="0" fontId="44" fillId="9" borderId="57" xfId="0" applyFont="1" applyFill="1" applyBorder="1" applyAlignment="1">
      <alignment horizontal="center"/>
    </xf>
    <xf numFmtId="0" fontId="25" fillId="9" borderId="66" xfId="0" applyFont="1" applyFill="1" applyBorder="1" applyAlignment="1">
      <alignment horizontal="left"/>
    </xf>
    <xf numFmtId="49" fontId="46" fillId="9" borderId="55" xfId="0" applyNumberFormat="1" applyFont="1" applyFill="1" applyBorder="1" applyAlignment="1">
      <alignment horizontal="center"/>
    </xf>
    <xf numFmtId="0" fontId="0" fillId="9" borderId="55" xfId="0" applyFont="1" applyFill="1" applyBorder="1" applyAlignment="1">
      <alignment/>
    </xf>
    <xf numFmtId="0" fontId="0" fillId="9" borderId="56" xfId="0" applyFont="1" applyFill="1" applyBorder="1" applyAlignment="1">
      <alignment/>
    </xf>
    <xf numFmtId="0" fontId="44" fillId="9" borderId="51" xfId="0" applyFont="1" applyFill="1" applyBorder="1" applyAlignment="1">
      <alignment horizontal="center"/>
    </xf>
    <xf numFmtId="0" fontId="44" fillId="9" borderId="30" xfId="0" applyFont="1" applyFill="1" applyBorder="1" applyAlignment="1">
      <alignment horizontal="center"/>
    </xf>
    <xf numFmtId="49" fontId="44" fillId="9" borderId="30" xfId="0" applyNumberFormat="1" applyFont="1" applyFill="1" applyBorder="1" applyAlignment="1">
      <alignment horizontal="center"/>
    </xf>
    <xf numFmtId="0" fontId="48" fillId="9" borderId="22" xfId="0" applyFont="1" applyFill="1" applyBorder="1" applyAlignment="1">
      <alignment/>
    </xf>
    <xf numFmtId="0" fontId="48" fillId="9" borderId="27" xfId="0" applyFont="1" applyFill="1" applyBorder="1" applyAlignment="1">
      <alignment horizontal="center"/>
    </xf>
    <xf numFmtId="174" fontId="0" fillId="9" borderId="45" xfId="0" applyNumberFormat="1" applyFont="1" applyFill="1" applyBorder="1" applyAlignment="1">
      <alignment horizontal="center"/>
    </xf>
    <xf numFmtId="174" fontId="0" fillId="9" borderId="47" xfId="0" applyNumberFormat="1" applyFont="1" applyFill="1" applyBorder="1" applyAlignment="1">
      <alignment horizontal="center"/>
    </xf>
    <xf numFmtId="174" fontId="0" fillId="9" borderId="67" xfId="0" applyNumberFormat="1" applyFont="1" applyFill="1" applyBorder="1" applyAlignment="1">
      <alignment horizontal="center"/>
    </xf>
    <xf numFmtId="1" fontId="0" fillId="9" borderId="45" xfId="0" applyNumberFormat="1" applyFont="1" applyFill="1" applyBorder="1" applyAlignment="1">
      <alignment horizontal="center" vertical="center"/>
    </xf>
    <xf numFmtId="1" fontId="0" fillId="9" borderId="35" xfId="0" applyNumberFormat="1" applyFont="1" applyFill="1" applyBorder="1" applyAlignment="1">
      <alignment horizontal="center" vertical="center"/>
    </xf>
    <xf numFmtId="1" fontId="0" fillId="9" borderId="68" xfId="0" applyNumberFormat="1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9" fillId="7" borderId="23" xfId="0" applyFont="1" applyFill="1" applyBorder="1" applyAlignment="1">
      <alignment horizontal="left" vertical="center"/>
    </xf>
    <xf numFmtId="0" fontId="49" fillId="7" borderId="23" xfId="0" applyFont="1" applyFill="1" applyBorder="1" applyAlignment="1">
      <alignment vertical="center"/>
    </xf>
    <xf numFmtId="0" fontId="49" fillId="7" borderId="23" xfId="0" applyFont="1" applyFill="1" applyBorder="1" applyAlignment="1">
      <alignment/>
    </xf>
    <xf numFmtId="0" fontId="49" fillId="7" borderId="69" xfId="0" applyFont="1" applyFill="1" applyBorder="1" applyAlignment="1">
      <alignment/>
    </xf>
    <xf numFmtId="174" fontId="49" fillId="7" borderId="22" xfId="0" applyNumberFormat="1" applyFont="1" applyFill="1" applyBorder="1" applyAlignment="1">
      <alignment/>
    </xf>
    <xf numFmtId="3" fontId="49" fillId="7" borderId="27" xfId="0" applyNumberFormat="1" applyFont="1" applyFill="1" applyBorder="1" applyAlignment="1">
      <alignment/>
    </xf>
    <xf numFmtId="0" fontId="44" fillId="0" borderId="51" xfId="0" applyFont="1" applyBorder="1" applyAlignment="1">
      <alignment horizontal="center"/>
    </xf>
    <xf numFmtId="0" fontId="50" fillId="7" borderId="30" xfId="0" applyFont="1" applyFill="1" applyBorder="1" applyAlignment="1">
      <alignment/>
    </xf>
    <xf numFmtId="0" fontId="50" fillId="7" borderId="52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7" borderId="70" xfId="0" applyFont="1" applyFill="1" applyBorder="1" applyAlignment="1">
      <alignment/>
    </xf>
    <xf numFmtId="174" fontId="51" fillId="7" borderId="29" xfId="0" applyNumberFormat="1" applyFont="1" applyFill="1" applyBorder="1" applyAlignment="1">
      <alignment/>
    </xf>
    <xf numFmtId="3" fontId="52" fillId="7" borderId="51" xfId="0" applyNumberFormat="1" applyFont="1" applyFill="1" applyBorder="1" applyAlignment="1">
      <alignment/>
    </xf>
    <xf numFmtId="0" fontId="50" fillId="7" borderId="71" xfId="0" applyFont="1" applyFill="1" applyBorder="1" applyAlignment="1">
      <alignment/>
    </xf>
    <xf numFmtId="0" fontId="50" fillId="7" borderId="72" xfId="0" applyFont="1" applyFill="1" applyBorder="1" applyAlignment="1">
      <alignment/>
    </xf>
    <xf numFmtId="0" fontId="44" fillId="7" borderId="73" xfId="0" applyFont="1" applyFill="1" applyBorder="1" applyAlignment="1">
      <alignment/>
    </xf>
    <xf numFmtId="0" fontId="50" fillId="7" borderId="73" xfId="0" applyFont="1" applyFill="1" applyBorder="1" applyAlignment="1">
      <alignment/>
    </xf>
    <xf numFmtId="0" fontId="50" fillId="7" borderId="74" xfId="0" applyFont="1" applyFill="1" applyBorder="1" applyAlignment="1">
      <alignment/>
    </xf>
    <xf numFmtId="174" fontId="51" fillId="7" borderId="75" xfId="0" applyNumberFormat="1" applyFont="1" applyFill="1" applyBorder="1" applyAlignment="1">
      <alignment/>
    </xf>
    <xf numFmtId="3" fontId="52" fillId="7" borderId="76" xfId="0" applyNumberFormat="1" applyFont="1" applyFill="1" applyBorder="1" applyAlignment="1">
      <alignment/>
    </xf>
    <xf numFmtId="0" fontId="51" fillId="10" borderId="30" xfId="0" applyFont="1" applyFill="1" applyBorder="1" applyAlignment="1">
      <alignment horizontal="center"/>
    </xf>
    <xf numFmtId="0" fontId="53" fillId="10" borderId="30" xfId="0" applyFont="1" applyFill="1" applyBorder="1" applyAlignment="1">
      <alignment/>
    </xf>
    <xf numFmtId="0" fontId="44" fillId="10" borderId="0" xfId="0" applyFont="1" applyFill="1" applyBorder="1" applyAlignment="1">
      <alignment/>
    </xf>
    <xf numFmtId="0" fontId="44" fillId="10" borderId="70" xfId="0" applyFont="1" applyFill="1" applyBorder="1" applyAlignment="1">
      <alignment/>
    </xf>
    <xf numFmtId="174" fontId="52" fillId="10" borderId="29" xfId="0" applyNumberFormat="1" applyFont="1" applyFill="1" applyBorder="1" applyAlignment="1">
      <alignment/>
    </xf>
    <xf numFmtId="3" fontId="52" fillId="10" borderId="60" xfId="0" applyNumberFormat="1" applyFont="1" applyFill="1" applyBorder="1" applyAlignment="1">
      <alignment/>
    </xf>
    <xf numFmtId="3" fontId="52" fillId="10" borderId="51" xfId="0" applyNumberFormat="1" applyFont="1" applyFill="1" applyBorder="1" applyAlignment="1">
      <alignment/>
    </xf>
    <xf numFmtId="0" fontId="54" fillId="0" borderId="30" xfId="0" applyFont="1" applyFill="1" applyBorder="1" applyAlignment="1">
      <alignment horizontal="center"/>
    </xf>
    <xf numFmtId="49" fontId="50" fillId="3" borderId="0" xfId="0" applyNumberFormat="1" applyFont="1" applyFill="1" applyBorder="1" applyAlignment="1">
      <alignment horizontal="left"/>
    </xf>
    <xf numFmtId="0" fontId="55" fillId="3" borderId="0" xfId="0" applyFont="1" applyFill="1" applyBorder="1" applyAlignment="1">
      <alignment/>
    </xf>
    <xf numFmtId="0" fontId="44" fillId="3" borderId="0" xfId="0" applyFont="1" applyFill="1" applyBorder="1" applyAlignment="1">
      <alignment/>
    </xf>
    <xf numFmtId="0" fontId="50" fillId="3" borderId="70" xfId="0" applyFont="1" applyFill="1" applyBorder="1" applyAlignment="1">
      <alignment/>
    </xf>
    <xf numFmtId="174" fontId="50" fillId="3" borderId="29" xfId="0" applyNumberFormat="1" applyFont="1" applyFill="1" applyBorder="1" applyAlignment="1">
      <alignment horizontal="right"/>
    </xf>
    <xf numFmtId="3" fontId="50" fillId="3" borderId="51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51" fillId="0" borderId="3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70" xfId="0" applyFont="1" applyFill="1" applyBorder="1" applyAlignment="1">
      <alignment/>
    </xf>
    <xf numFmtId="174" fontId="50" fillId="7" borderId="29" xfId="0" applyNumberFormat="1" applyFont="1" applyFill="1" applyBorder="1" applyAlignment="1">
      <alignment/>
    </xf>
    <xf numFmtId="3" fontId="50" fillId="7" borderId="51" xfId="0" applyNumberFormat="1" applyFont="1" applyFill="1" applyBorder="1" applyAlignment="1">
      <alignment/>
    </xf>
    <xf numFmtId="0" fontId="44" fillId="0" borderId="0" xfId="0" applyFont="1" applyBorder="1" applyAlignment="1">
      <alignment horizontal="center"/>
    </xf>
    <xf numFmtId="49" fontId="51" fillId="15" borderId="21" xfId="0" applyNumberFormat="1" applyFont="1" applyFill="1" applyBorder="1" applyAlignment="1">
      <alignment horizontal="center"/>
    </xf>
    <xf numFmtId="49" fontId="52" fillId="15" borderId="13" xfId="0" applyNumberFormat="1" applyFont="1" applyFill="1" applyBorder="1" applyAlignment="1">
      <alignment horizontal="left"/>
    </xf>
    <xf numFmtId="0" fontId="52" fillId="15" borderId="14" xfId="0" applyFont="1" applyFill="1" applyBorder="1" applyAlignment="1">
      <alignment/>
    </xf>
    <xf numFmtId="0" fontId="52" fillId="15" borderId="77" xfId="0" applyFont="1" applyFill="1" applyBorder="1" applyAlignment="1">
      <alignment/>
    </xf>
    <xf numFmtId="174" fontId="52" fillId="15" borderId="34" xfId="0" applyNumberFormat="1" applyFont="1" applyFill="1" applyBorder="1" applyAlignment="1">
      <alignment horizontal="right"/>
    </xf>
    <xf numFmtId="3" fontId="50" fillId="15" borderId="3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right"/>
    </xf>
    <xf numFmtId="0" fontId="44" fillId="0" borderId="21" xfId="0" applyFont="1" applyBorder="1" applyAlignment="1">
      <alignment horizontal="center"/>
    </xf>
    <xf numFmtId="0" fontId="44" fillId="8" borderId="20" xfId="0" applyFont="1" applyFill="1" applyBorder="1" applyAlignment="1">
      <alignment/>
    </xf>
    <xf numFmtId="0" fontId="44" fillId="8" borderId="30" xfId="0" applyFont="1" applyFill="1" applyBorder="1" applyAlignment="1">
      <alignment/>
    </xf>
    <xf numFmtId="174" fontId="44" fillId="0" borderId="0" xfId="0" applyNumberFormat="1" applyFont="1" applyFill="1" applyBorder="1" applyAlignment="1">
      <alignment horizontal="right"/>
    </xf>
    <xf numFmtId="3" fontId="44" fillId="0" borderId="51" xfId="0" applyNumberFormat="1" applyFont="1" applyFill="1" applyBorder="1" applyAlignment="1">
      <alignment horizontal="right"/>
    </xf>
    <xf numFmtId="0" fontId="44" fillId="0" borderId="15" xfId="0" applyFont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32" xfId="0" applyFont="1" applyFill="1" applyBorder="1" applyAlignment="1">
      <alignment/>
    </xf>
    <xf numFmtId="174" fontId="44" fillId="0" borderId="14" xfId="0" applyNumberFormat="1" applyFont="1" applyFill="1" applyBorder="1" applyAlignment="1">
      <alignment horizontal="right"/>
    </xf>
    <xf numFmtId="3" fontId="44" fillId="0" borderId="31" xfId="0" applyNumberFormat="1" applyFont="1" applyFill="1" applyBorder="1" applyAlignment="1">
      <alignment horizontal="right"/>
    </xf>
    <xf numFmtId="0" fontId="44" fillId="8" borderId="13" xfId="0" applyFont="1" applyFill="1" applyBorder="1" applyAlignment="1">
      <alignment/>
    </xf>
    <xf numFmtId="0" fontId="44" fillId="8" borderId="32" xfId="0" applyFont="1" applyFill="1" applyBorder="1" applyAlignment="1">
      <alignment/>
    </xf>
    <xf numFmtId="0" fontId="44" fillId="8" borderId="17" xfId="0" applyFont="1" applyFill="1" applyBorder="1" applyAlignment="1">
      <alignment/>
    </xf>
    <xf numFmtId="0" fontId="44" fillId="8" borderId="36" xfId="0" applyFont="1" applyFill="1" applyBorder="1" applyAlignment="1">
      <alignment/>
    </xf>
    <xf numFmtId="174" fontId="44" fillId="0" borderId="18" xfId="0" applyNumberFormat="1" applyFont="1" applyFill="1" applyBorder="1" applyAlignment="1">
      <alignment horizontal="right"/>
    </xf>
    <xf numFmtId="3" fontId="44" fillId="0" borderId="35" xfId="0" applyNumberFormat="1" applyFont="1" applyFill="1" applyBorder="1" applyAlignment="1">
      <alignment horizontal="right"/>
    </xf>
    <xf numFmtId="0" fontId="44" fillId="7" borderId="0" xfId="0" applyFont="1" applyFill="1" applyBorder="1" applyAlignment="1">
      <alignment/>
    </xf>
    <xf numFmtId="0" fontId="44" fillId="8" borderId="77" xfId="0" applyFont="1" applyFill="1" applyBorder="1" applyAlignment="1">
      <alignment/>
    </xf>
    <xf numFmtId="174" fontId="44" fillId="0" borderId="34" xfId="0" applyNumberFormat="1" applyFont="1" applyFill="1" applyBorder="1" applyAlignment="1">
      <alignment horizontal="right"/>
    </xf>
    <xf numFmtId="0" fontId="44" fillId="0" borderId="30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2" fillId="3" borderId="70" xfId="0" applyFont="1" applyFill="1" applyBorder="1" applyAlignment="1">
      <alignment/>
    </xf>
    <xf numFmtId="174" fontId="52" fillId="3" borderId="29" xfId="0" applyNumberFormat="1" applyFont="1" applyFill="1" applyBorder="1" applyAlignment="1">
      <alignment horizontal="right"/>
    </xf>
    <xf numFmtId="3" fontId="52" fillId="3" borderId="51" xfId="0" applyNumberFormat="1" applyFont="1" applyFill="1" applyBorder="1" applyAlignment="1">
      <alignment horizontal="right"/>
    </xf>
    <xf numFmtId="0" fontId="44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1" fillId="15" borderId="30" xfId="0" applyNumberFormat="1" applyFont="1" applyFill="1" applyBorder="1" applyAlignment="1">
      <alignment horizontal="center"/>
    </xf>
    <xf numFmtId="0" fontId="52" fillId="15" borderId="13" xfId="0" applyFont="1" applyFill="1" applyBorder="1" applyAlignment="1">
      <alignment/>
    </xf>
    <xf numFmtId="0" fontId="50" fillId="15" borderId="77" xfId="0" applyFont="1" applyFill="1" applyBorder="1" applyAlignment="1">
      <alignment/>
    </xf>
    <xf numFmtId="174" fontId="50" fillId="15" borderId="34" xfId="0" applyNumberFormat="1" applyFont="1" applyFill="1" applyBorder="1" applyAlignment="1">
      <alignment horizontal="right"/>
    </xf>
    <xf numFmtId="49" fontId="56" fillId="0" borderId="30" xfId="0" applyNumberFormat="1" applyFont="1" applyFill="1" applyBorder="1" applyAlignment="1">
      <alignment horizontal="right"/>
    </xf>
    <xf numFmtId="0" fontId="44" fillId="0" borderId="21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70" xfId="0" applyFont="1" applyFill="1" applyBorder="1" applyAlignment="1">
      <alignment/>
    </xf>
    <xf numFmtId="174" fontId="50" fillId="0" borderId="29" xfId="0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0" borderId="77" xfId="0" applyFont="1" applyFill="1" applyBorder="1" applyAlignment="1">
      <alignment/>
    </xf>
    <xf numFmtId="174" fontId="50" fillId="0" borderId="34" xfId="0" applyNumberFormat="1" applyFont="1" applyFill="1" applyBorder="1" applyAlignment="1">
      <alignment horizontal="right"/>
    </xf>
    <xf numFmtId="0" fontId="50" fillId="0" borderId="77" xfId="0" applyFont="1" applyFill="1" applyBorder="1" applyAlignment="1">
      <alignment/>
    </xf>
    <xf numFmtId="174" fontId="44" fillId="0" borderId="34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174" fontId="50" fillId="15" borderId="34" xfId="0" applyNumberFormat="1" applyFont="1" applyFill="1" applyBorder="1" applyAlignment="1">
      <alignment/>
    </xf>
    <xf numFmtId="3" fontId="50" fillId="15" borderId="31" xfId="0" applyNumberFormat="1" applyFont="1" applyFill="1" applyBorder="1" applyAlignment="1">
      <alignment/>
    </xf>
    <xf numFmtId="49" fontId="44" fillId="0" borderId="21" xfId="0" applyNumberFormat="1" applyFont="1" applyFill="1" applyBorder="1" applyAlignment="1">
      <alignment horizontal="center"/>
    </xf>
    <xf numFmtId="0" fontId="44" fillId="8" borderId="70" xfId="0" applyFont="1" applyFill="1" applyBorder="1" applyAlignment="1">
      <alignment/>
    </xf>
    <xf numFmtId="174" fontId="44" fillId="0" borderId="29" xfId="0" applyNumberFormat="1" applyFont="1" applyFill="1" applyBorder="1" applyAlignment="1">
      <alignment/>
    </xf>
    <xf numFmtId="3" fontId="44" fillId="0" borderId="51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right"/>
    </xf>
    <xf numFmtId="49" fontId="44" fillId="0" borderId="15" xfId="0" applyNumberFormat="1" applyFont="1" applyFill="1" applyBorder="1" applyAlignment="1">
      <alignment horizontal="center"/>
    </xf>
    <xf numFmtId="49" fontId="56" fillId="0" borderId="21" xfId="0" applyNumberFormat="1" applyFont="1" applyFill="1" applyBorder="1" applyAlignment="1">
      <alignment horizontal="right"/>
    </xf>
    <xf numFmtId="174" fontId="44" fillId="0" borderId="29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31" xfId="0" applyFont="1" applyBorder="1" applyAlignment="1">
      <alignment/>
    </xf>
    <xf numFmtId="0" fontId="53" fillId="0" borderId="20" xfId="0" applyFont="1" applyFill="1" applyBorder="1" applyAlignment="1">
      <alignment/>
    </xf>
    <xf numFmtId="174" fontId="52" fillId="15" borderId="34" xfId="0" applyNumberFormat="1" applyFont="1" applyFill="1" applyBorder="1" applyAlignment="1">
      <alignment/>
    </xf>
    <xf numFmtId="3" fontId="50" fillId="15" borderId="31" xfId="0" applyNumberFormat="1" applyFont="1" applyFill="1" applyBorder="1" applyAlignment="1">
      <alignment/>
    </xf>
    <xf numFmtId="0" fontId="50" fillId="0" borderId="70" xfId="0" applyFont="1" applyFill="1" applyBorder="1" applyAlignment="1">
      <alignment/>
    </xf>
    <xf numFmtId="174" fontId="50" fillId="0" borderId="29" xfId="0" applyNumberFormat="1" applyFont="1" applyFill="1" applyBorder="1" applyAlignment="1">
      <alignment/>
    </xf>
    <xf numFmtId="3" fontId="44" fillId="0" borderId="51" xfId="0" applyNumberFormat="1" applyFont="1" applyFill="1" applyBorder="1" applyAlignment="1">
      <alignment/>
    </xf>
    <xf numFmtId="174" fontId="50" fillId="0" borderId="34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0" fontId="51" fillId="10" borderId="0" xfId="0" applyFont="1" applyFill="1" applyBorder="1" applyAlignment="1">
      <alignment horizontal="center"/>
    </xf>
    <xf numFmtId="0" fontId="53" fillId="10" borderId="2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49" fontId="54" fillId="15" borderId="21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/>
    </xf>
    <xf numFmtId="0" fontId="53" fillId="10" borderId="0" xfId="0" applyFont="1" applyFill="1" applyBorder="1" applyAlignment="1">
      <alignment/>
    </xf>
    <xf numFmtId="0" fontId="50" fillId="10" borderId="70" xfId="0" applyFont="1" applyFill="1" applyBorder="1" applyAlignment="1">
      <alignment/>
    </xf>
    <xf numFmtId="49" fontId="54" fillId="15" borderId="3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44" fillId="0" borderId="14" xfId="0" applyFont="1" applyFill="1" applyBorder="1" applyAlignment="1">
      <alignment/>
    </xf>
    <xf numFmtId="0" fontId="50" fillId="0" borderId="77" xfId="0" applyFont="1" applyFill="1" applyBorder="1" applyAlignment="1">
      <alignment/>
    </xf>
    <xf numFmtId="174" fontId="52" fillId="0" borderId="34" xfId="0" applyNumberFormat="1" applyFont="1" applyFill="1" applyBorder="1" applyAlignment="1">
      <alignment/>
    </xf>
    <xf numFmtId="0" fontId="44" fillId="0" borderId="63" xfId="0" applyFont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6" fillId="0" borderId="53" xfId="0" applyFont="1" applyBorder="1" applyAlignment="1">
      <alignment horizontal="right"/>
    </xf>
    <xf numFmtId="0" fontId="44" fillId="0" borderId="50" xfId="0" applyFont="1" applyFill="1" applyBorder="1" applyAlignment="1">
      <alignment horizontal="center"/>
    </xf>
    <xf numFmtId="0" fontId="44" fillId="0" borderId="53" xfId="0" applyFont="1" applyFill="1" applyBorder="1" applyAlignment="1">
      <alignment/>
    </xf>
    <xf numFmtId="0" fontId="50" fillId="0" borderId="62" xfId="0" applyFont="1" applyFill="1" applyBorder="1" applyAlignment="1">
      <alignment/>
    </xf>
    <xf numFmtId="174" fontId="52" fillId="0" borderId="61" xfId="0" applyNumberFormat="1" applyFont="1" applyFill="1" applyBorder="1" applyAlignment="1">
      <alignment/>
    </xf>
    <xf numFmtId="3" fontId="48" fillId="0" borderId="63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0" fillId="9" borderId="29" xfId="0" applyNumberFormat="1" applyFont="1" applyFill="1" applyBorder="1" applyAlignment="1">
      <alignment horizontal="center"/>
    </xf>
    <xf numFmtId="0" fontId="44" fillId="9" borderId="63" xfId="0" applyFont="1" applyFill="1" applyBorder="1" applyAlignment="1">
      <alignment horizontal="center"/>
    </xf>
    <xf numFmtId="0" fontId="44" fillId="9" borderId="79" xfId="0" applyFont="1" applyFill="1" applyBorder="1" applyAlignment="1">
      <alignment horizontal="center"/>
    </xf>
    <xf numFmtId="49" fontId="44" fillId="9" borderId="79" xfId="0" applyNumberFormat="1" applyFont="1" applyFill="1" applyBorder="1" applyAlignment="1">
      <alignment horizontal="center"/>
    </xf>
    <xf numFmtId="1" fontId="0" fillId="9" borderId="38" xfId="0" applyNumberFormat="1" applyFont="1" applyFill="1" applyBorder="1" applyAlignment="1">
      <alignment horizontal="center" vertical="center"/>
    </xf>
    <xf numFmtId="1" fontId="0" fillId="9" borderId="43" xfId="0" applyNumberFormat="1" applyFont="1" applyFill="1" applyBorder="1" applyAlignment="1">
      <alignment horizontal="center" vertical="center"/>
    </xf>
    <xf numFmtId="0" fontId="49" fillId="7" borderId="80" xfId="0" applyFont="1" applyFill="1" applyBorder="1" applyAlignment="1">
      <alignment horizontal="left" vertical="center"/>
    </xf>
    <xf numFmtId="0" fontId="49" fillId="7" borderId="81" xfId="0" applyFont="1" applyFill="1" applyBorder="1" applyAlignment="1">
      <alignment vertical="center"/>
    </xf>
    <xf numFmtId="0" fontId="57" fillId="7" borderId="81" xfId="0" applyFont="1" applyFill="1" applyBorder="1" applyAlignment="1">
      <alignment/>
    </xf>
    <xf numFmtId="0" fontId="49" fillId="7" borderId="81" xfId="0" applyFont="1" applyFill="1" applyBorder="1" applyAlignment="1">
      <alignment/>
    </xf>
    <xf numFmtId="0" fontId="57" fillId="7" borderId="67" xfId="0" applyFont="1" applyFill="1" applyBorder="1" applyAlignment="1">
      <alignment/>
    </xf>
    <xf numFmtId="174" fontId="49" fillId="7" borderId="80" xfId="0" applyNumberFormat="1" applyFont="1" applyFill="1" applyBorder="1" applyAlignment="1">
      <alignment/>
    </xf>
    <xf numFmtId="3" fontId="49" fillId="7" borderId="81" xfId="0" applyNumberFormat="1" applyFont="1" applyFill="1" applyBorder="1" applyAlignment="1">
      <alignment/>
    </xf>
    <xf numFmtId="0" fontId="50" fillId="7" borderId="82" xfId="0" applyFont="1" applyFill="1" applyBorder="1" applyAlignment="1">
      <alignment/>
    </xf>
    <xf numFmtId="174" fontId="52" fillId="7" borderId="29" xfId="0" applyNumberFormat="1" applyFont="1" applyFill="1" applyBorder="1" applyAlignment="1">
      <alignment/>
    </xf>
    <xf numFmtId="3" fontId="52" fillId="7" borderId="0" xfId="0" applyNumberFormat="1" applyFont="1" applyFill="1" applyBorder="1" applyAlignment="1">
      <alignment/>
    </xf>
    <xf numFmtId="3" fontId="52" fillId="7" borderId="51" xfId="0" applyNumberFormat="1" applyFont="1" applyFill="1" applyBorder="1" applyAlignment="1">
      <alignment/>
    </xf>
    <xf numFmtId="3" fontId="52" fillId="7" borderId="29" xfId="0" applyNumberFormat="1" applyFont="1" applyFill="1" applyBorder="1" applyAlignment="1">
      <alignment/>
    </xf>
    <xf numFmtId="0" fontId="50" fillId="7" borderId="83" xfId="0" applyFont="1" applyFill="1" applyBorder="1" applyAlignment="1">
      <alignment/>
    </xf>
    <xf numFmtId="174" fontId="52" fillId="7" borderId="75" xfId="0" applyNumberFormat="1" applyFont="1" applyFill="1" applyBorder="1" applyAlignment="1">
      <alignment/>
    </xf>
    <xf numFmtId="3" fontId="52" fillId="7" borderId="73" xfId="0" applyNumberFormat="1" applyFont="1" applyFill="1" applyBorder="1" applyAlignment="1">
      <alignment/>
    </xf>
    <xf numFmtId="3" fontId="52" fillId="7" borderId="76" xfId="0" applyNumberFormat="1" applyFont="1" applyFill="1" applyBorder="1" applyAlignment="1">
      <alignment/>
    </xf>
    <xf numFmtId="0" fontId="51" fillId="10" borderId="82" xfId="0" applyFont="1" applyFill="1" applyBorder="1" applyAlignment="1">
      <alignment horizontal="center"/>
    </xf>
    <xf numFmtId="3" fontId="52" fillId="10" borderId="0" xfId="0" applyNumberFormat="1" applyFont="1" applyFill="1" applyBorder="1" applyAlignment="1">
      <alignment/>
    </xf>
    <xf numFmtId="0" fontId="51" fillId="0" borderId="82" xfId="0" applyFont="1" applyFill="1" applyBorder="1" applyAlignment="1">
      <alignment horizontal="center"/>
    </xf>
    <xf numFmtId="3" fontId="50" fillId="7" borderId="0" xfId="0" applyNumberFormat="1" applyFont="1" applyFill="1" applyBorder="1" applyAlignment="1">
      <alignment/>
    </xf>
    <xf numFmtId="0" fontId="44" fillId="0" borderId="82" xfId="0" applyFont="1" applyBorder="1" applyAlignment="1">
      <alignment horizontal="center"/>
    </xf>
    <xf numFmtId="49" fontId="54" fillId="15" borderId="0" xfId="0" applyNumberFormat="1" applyFont="1" applyFill="1" applyBorder="1" applyAlignment="1">
      <alignment horizontal="center"/>
    </xf>
    <xf numFmtId="0" fontId="44" fillId="15" borderId="14" xfId="0" applyFont="1" applyFill="1" applyBorder="1" applyAlignment="1">
      <alignment/>
    </xf>
    <xf numFmtId="0" fontId="44" fillId="15" borderId="77" xfId="0" applyFont="1" applyFill="1" applyBorder="1" applyAlignment="1">
      <alignment/>
    </xf>
    <xf numFmtId="3" fontId="50" fillId="15" borderId="34" xfId="0" applyNumberFormat="1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 horizontal="right"/>
    </xf>
    <xf numFmtId="0" fontId="44" fillId="0" borderId="78" xfId="0" applyFont="1" applyBorder="1" applyAlignment="1">
      <alignment horizontal="center"/>
    </xf>
    <xf numFmtId="49" fontId="56" fillId="0" borderId="53" xfId="0" applyNumberFormat="1" applyFont="1" applyFill="1" applyBorder="1" applyAlignment="1">
      <alignment horizontal="right"/>
    </xf>
    <xf numFmtId="49" fontId="44" fillId="0" borderId="50" xfId="0" applyNumberFormat="1" applyFont="1" applyFill="1" applyBorder="1" applyAlignment="1">
      <alignment horizontal="center"/>
    </xf>
    <xf numFmtId="0" fontId="44" fillId="0" borderId="64" xfId="0" applyFont="1" applyFill="1" applyBorder="1" applyAlignment="1">
      <alignment/>
    </xf>
    <xf numFmtId="0" fontId="44" fillId="0" borderId="62" xfId="0" applyFont="1" applyFill="1" applyBorder="1" applyAlignment="1">
      <alignment/>
    </xf>
    <xf numFmtId="174" fontId="50" fillId="0" borderId="61" xfId="0" applyNumberFormat="1" applyFont="1" applyFill="1" applyBorder="1" applyAlignment="1">
      <alignment horizontal="right"/>
    </xf>
    <xf numFmtId="3" fontId="44" fillId="0" borderId="53" xfId="0" applyNumberFormat="1" applyFont="1" applyFill="1" applyBorder="1" applyAlignment="1">
      <alignment horizontal="right"/>
    </xf>
    <xf numFmtId="3" fontId="44" fillId="0" borderId="63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25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Alignment="1">
      <alignment/>
    </xf>
    <xf numFmtId="0" fontId="55" fillId="7" borderId="22" xfId="0" applyFont="1" applyFill="1" applyBorder="1" applyAlignment="1">
      <alignment horizontal="left" vertical="center"/>
    </xf>
    <xf numFmtId="0" fontId="49" fillId="7" borderId="26" xfId="0" applyFont="1" applyFill="1" applyBorder="1" applyAlignment="1">
      <alignment vertical="center"/>
    </xf>
    <xf numFmtId="0" fontId="57" fillId="7" borderId="23" xfId="0" applyFont="1" applyFill="1" applyBorder="1" applyAlignment="1">
      <alignment/>
    </xf>
    <xf numFmtId="0" fontId="57" fillId="7" borderId="69" xfId="0" applyFont="1" applyFill="1" applyBorder="1" applyAlignment="1">
      <alignment/>
    </xf>
    <xf numFmtId="0" fontId="51" fillId="10" borderId="29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44" fillId="0" borderId="29" xfId="0" applyFont="1" applyBorder="1" applyAlignment="1">
      <alignment horizontal="center"/>
    </xf>
    <xf numFmtId="49" fontId="54" fillId="15" borderId="21" xfId="0" applyNumberFormat="1" applyFont="1" applyFill="1" applyBorder="1" applyAlignment="1">
      <alignment horizontal="right"/>
    </xf>
    <xf numFmtId="0" fontId="44" fillId="8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0" fontId="44" fillId="8" borderId="14" xfId="0" applyFont="1" applyFill="1" applyBorder="1" applyAlignment="1">
      <alignment/>
    </xf>
    <xf numFmtId="0" fontId="53" fillId="10" borderId="29" xfId="0" applyFont="1" applyFill="1" applyBorder="1" applyAlignment="1">
      <alignment horizontal="center"/>
    </xf>
    <xf numFmtId="0" fontId="53" fillId="10" borderId="70" xfId="0" applyFont="1" applyFill="1" applyBorder="1" applyAlignment="1">
      <alignment/>
    </xf>
    <xf numFmtId="174" fontId="44" fillId="10" borderId="29" xfId="0" applyNumberFormat="1" applyFont="1" applyFill="1" applyBorder="1" applyAlignment="1">
      <alignment horizontal="right"/>
    </xf>
    <xf numFmtId="3" fontId="52" fillId="10" borderId="51" xfId="0" applyNumberFormat="1" applyFont="1" applyFill="1" applyBorder="1" applyAlignment="1">
      <alignment horizontal="right"/>
    </xf>
    <xf numFmtId="3" fontId="52" fillId="10" borderId="0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4" fillId="0" borderId="29" xfId="0" applyFont="1" applyFill="1" applyBorder="1" applyAlignment="1">
      <alignment horizontal="center"/>
    </xf>
    <xf numFmtId="0" fontId="44" fillId="8" borderId="15" xfId="0" applyFont="1" applyFill="1" applyBorder="1" applyAlignment="1">
      <alignment horizontal="center"/>
    </xf>
    <xf numFmtId="0" fontId="44" fillId="8" borderId="21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6" fillId="0" borderId="61" xfId="0" applyFont="1" applyFill="1" applyBorder="1" applyAlignment="1">
      <alignment horizontal="center"/>
    </xf>
    <xf numFmtId="49" fontId="38" fillId="0" borderId="50" xfId="0" applyNumberFormat="1" applyFont="1" applyFill="1" applyBorder="1" applyAlignment="1">
      <alignment horizontal="right"/>
    </xf>
    <xf numFmtId="0" fontId="36" fillId="0" borderId="50" xfId="0" applyFont="1" applyFill="1" applyBorder="1" applyAlignment="1">
      <alignment horizontal="center"/>
    </xf>
    <xf numFmtId="0" fontId="36" fillId="0" borderId="64" xfId="0" applyFont="1" applyFill="1" applyBorder="1" applyAlignment="1">
      <alignment/>
    </xf>
    <xf numFmtId="0" fontId="36" fillId="0" borderId="62" xfId="0" applyFont="1" applyFill="1" applyBorder="1" applyAlignment="1">
      <alignment/>
    </xf>
    <xf numFmtId="174" fontId="36" fillId="0" borderId="61" xfId="0" applyNumberFormat="1" applyFont="1" applyFill="1" applyBorder="1" applyAlignment="1">
      <alignment horizontal="right"/>
    </xf>
    <xf numFmtId="3" fontId="36" fillId="0" borderId="63" xfId="0" applyNumberFormat="1" applyFont="1" applyFill="1" applyBorder="1" applyAlignment="1">
      <alignment horizontal="right"/>
    </xf>
    <xf numFmtId="3" fontId="36" fillId="0" borderId="53" xfId="0" applyNumberFormat="1" applyFont="1" applyFill="1" applyBorder="1" applyAlignment="1">
      <alignment horizontal="right"/>
    </xf>
    <xf numFmtId="1" fontId="0" fillId="9" borderId="84" xfId="0" applyNumberFormat="1" applyFont="1" applyFill="1" applyBorder="1" applyAlignment="1">
      <alignment horizontal="center" vertical="center"/>
    </xf>
    <xf numFmtId="174" fontId="60" fillId="7" borderId="22" xfId="0" applyNumberFormat="1" applyFont="1" applyFill="1" applyBorder="1" applyAlignment="1">
      <alignment/>
    </xf>
    <xf numFmtId="3" fontId="52" fillId="7" borderId="74" xfId="0" applyNumberFormat="1" applyFont="1" applyFill="1" applyBorder="1" applyAlignment="1">
      <alignment/>
    </xf>
    <xf numFmtId="3" fontId="50" fillId="7" borderId="70" xfId="0" applyNumberFormat="1" applyFont="1" applyFill="1" applyBorder="1" applyAlignment="1">
      <alignment/>
    </xf>
    <xf numFmtId="3" fontId="44" fillId="0" borderId="70" xfId="0" applyNumberFormat="1" applyFont="1" applyFill="1" applyBorder="1" applyAlignment="1">
      <alignment horizontal="right"/>
    </xf>
    <xf numFmtId="3" fontId="44" fillId="0" borderId="77" xfId="0" applyNumberFormat="1" applyFont="1" applyFill="1" applyBorder="1" applyAlignment="1">
      <alignment horizontal="right"/>
    </xf>
    <xf numFmtId="3" fontId="52" fillId="10" borderId="70" xfId="0" applyNumberFormat="1" applyFont="1" applyFill="1" applyBorder="1" applyAlignment="1">
      <alignment/>
    </xf>
    <xf numFmtId="0" fontId="0" fillId="15" borderId="77" xfId="0" applyFont="1" applyFill="1" applyBorder="1" applyAlignment="1">
      <alignment/>
    </xf>
    <xf numFmtId="3" fontId="44" fillId="0" borderId="70" xfId="0" applyNumberFormat="1" applyFont="1" applyBorder="1" applyAlignment="1">
      <alignment/>
    </xf>
    <xf numFmtId="3" fontId="44" fillId="0" borderId="77" xfId="0" applyNumberFormat="1" applyFont="1" applyBorder="1" applyAlignment="1">
      <alignment/>
    </xf>
    <xf numFmtId="0" fontId="44" fillId="7" borderId="70" xfId="0" applyFont="1" applyFill="1" applyBorder="1" applyAlignment="1">
      <alignment/>
    </xf>
    <xf numFmtId="174" fontId="44" fillId="7" borderId="29" xfId="0" applyNumberFormat="1" applyFont="1" applyFill="1" applyBorder="1" applyAlignment="1">
      <alignment horizontal="right"/>
    </xf>
    <xf numFmtId="3" fontId="50" fillId="7" borderId="51" xfId="0" applyNumberFormat="1" applyFont="1" applyFill="1" applyBorder="1" applyAlignment="1">
      <alignment horizontal="right"/>
    </xf>
    <xf numFmtId="0" fontId="56" fillId="0" borderId="21" xfId="0" applyFont="1" applyBorder="1" applyAlignment="1">
      <alignment horizontal="right"/>
    </xf>
    <xf numFmtId="0" fontId="0" fillId="0" borderId="77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15" borderId="77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4" fillId="0" borderId="70" xfId="0" applyFont="1" applyBorder="1" applyAlignment="1">
      <alignment/>
    </xf>
    <xf numFmtId="0" fontId="0" fillId="0" borderId="29" xfId="0" applyFont="1" applyBorder="1" applyAlignment="1">
      <alignment/>
    </xf>
    <xf numFmtId="0" fontId="56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77" xfId="0" applyFont="1" applyBorder="1" applyAlignment="1">
      <alignment/>
    </xf>
    <xf numFmtId="0" fontId="53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70" xfId="0" applyFont="1" applyFill="1" applyBorder="1" applyAlignment="1">
      <alignment/>
    </xf>
    <xf numFmtId="174" fontId="55" fillId="10" borderId="29" xfId="0" applyNumberFormat="1" applyFont="1" applyFill="1" applyBorder="1" applyAlignment="1">
      <alignment/>
    </xf>
    <xf numFmtId="0" fontId="44" fillId="0" borderId="53" xfId="0" applyFont="1" applyBorder="1" applyAlignment="1">
      <alignment horizontal="center"/>
    </xf>
    <xf numFmtId="49" fontId="56" fillId="0" borderId="50" xfId="0" applyNumberFormat="1" applyFont="1" applyFill="1" applyBorder="1" applyAlignment="1">
      <alignment horizontal="right"/>
    </xf>
    <xf numFmtId="0" fontId="44" fillId="8" borderId="64" xfId="0" applyFont="1" applyFill="1" applyBorder="1" applyAlignment="1">
      <alignment/>
    </xf>
    <xf numFmtId="0" fontId="44" fillId="8" borderId="62" xfId="0" applyFont="1" applyFill="1" applyBorder="1" applyAlignment="1">
      <alignment/>
    </xf>
    <xf numFmtId="174" fontId="44" fillId="0" borderId="61" xfId="0" applyNumberFormat="1" applyFont="1" applyFill="1" applyBorder="1" applyAlignment="1">
      <alignment horizontal="right"/>
    </xf>
    <xf numFmtId="3" fontId="44" fillId="0" borderId="62" xfId="0" applyNumberFormat="1" applyFont="1" applyFill="1" applyBorder="1" applyAlignment="1">
      <alignment horizontal="right"/>
    </xf>
    <xf numFmtId="0" fontId="49" fillId="7" borderId="81" xfId="0" applyFont="1" applyFill="1" applyBorder="1" applyAlignment="1">
      <alignment horizontal="left" vertical="center"/>
    </xf>
    <xf numFmtId="3" fontId="52" fillId="10" borderId="85" xfId="0" applyNumberFormat="1" applyFont="1" applyFill="1" applyBorder="1" applyAlignment="1">
      <alignment/>
    </xf>
    <xf numFmtId="3" fontId="50" fillId="15" borderId="77" xfId="0" applyNumberFormat="1" applyFont="1" applyFill="1" applyBorder="1" applyAlignment="1">
      <alignment horizontal="right"/>
    </xf>
    <xf numFmtId="0" fontId="53" fillId="1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49" fontId="54" fillId="15" borderId="0" xfId="0" applyNumberFormat="1" applyFont="1" applyFill="1" applyBorder="1" applyAlignment="1">
      <alignment horizontal="right"/>
    </xf>
    <xf numFmtId="174" fontId="50" fillId="7" borderId="29" xfId="0" applyNumberFormat="1" applyFont="1" applyFill="1" applyBorder="1" applyAlignment="1">
      <alignment horizontal="right"/>
    </xf>
    <xf numFmtId="3" fontId="50" fillId="7" borderId="70" xfId="0" applyNumberFormat="1" applyFont="1" applyFill="1" applyBorder="1" applyAlignment="1">
      <alignment horizontal="right"/>
    </xf>
    <xf numFmtId="3" fontId="44" fillId="15" borderId="31" xfId="0" applyNumberFormat="1" applyFont="1" applyFill="1" applyBorder="1" applyAlignment="1">
      <alignment horizontal="right"/>
    </xf>
    <xf numFmtId="3" fontId="44" fillId="15" borderId="77" xfId="0" applyNumberFormat="1" applyFont="1" applyFill="1" applyBorder="1" applyAlignment="1">
      <alignment horizontal="right"/>
    </xf>
    <xf numFmtId="174" fontId="50" fillId="0" borderId="14" xfId="0" applyNumberFormat="1" applyFont="1" applyFill="1" applyBorder="1" applyAlignment="1">
      <alignment horizontal="right"/>
    </xf>
    <xf numFmtId="0" fontId="44" fillId="0" borderId="19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68" xfId="0" applyFont="1" applyFill="1" applyBorder="1" applyAlignment="1">
      <alignment/>
    </xf>
    <xf numFmtId="174" fontId="50" fillId="0" borderId="45" xfId="0" applyNumberFormat="1" applyFont="1" applyFill="1" applyBorder="1" applyAlignment="1">
      <alignment horizontal="right"/>
    </xf>
    <xf numFmtId="3" fontId="44" fillId="0" borderId="68" xfId="0" applyNumberFormat="1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52" fillId="10" borderId="51" xfId="0" applyFont="1" applyFill="1" applyBorder="1" applyAlignment="1">
      <alignment/>
    </xf>
    <xf numFmtId="0" fontId="52" fillId="10" borderId="7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50" fillId="7" borderId="51" xfId="0" applyFont="1" applyFill="1" applyBorder="1" applyAlignment="1">
      <alignment/>
    </xf>
    <xf numFmtId="49" fontId="54" fillId="15" borderId="2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44" fillId="15" borderId="31" xfId="0" applyFont="1" applyFill="1" applyBorder="1" applyAlignment="1">
      <alignment/>
    </xf>
    <xf numFmtId="0" fontId="56" fillId="0" borderId="2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77" xfId="0" applyFont="1" applyBorder="1" applyAlignment="1">
      <alignment/>
    </xf>
    <xf numFmtId="0" fontId="0" fillId="0" borderId="53" xfId="0" applyBorder="1" applyAlignment="1">
      <alignment horizontal="center"/>
    </xf>
    <xf numFmtId="0" fontId="56" fillId="0" borderId="64" xfId="0" applyFont="1" applyBorder="1" applyAlignment="1">
      <alignment/>
    </xf>
    <xf numFmtId="0" fontId="44" fillId="0" borderId="42" xfId="0" applyFont="1" applyBorder="1" applyAlignment="1">
      <alignment horizontal="center"/>
    </xf>
    <xf numFmtId="0" fontId="44" fillId="0" borderId="39" xfId="0" applyFont="1" applyBorder="1" applyAlignment="1">
      <alignment/>
    </xf>
    <xf numFmtId="0" fontId="44" fillId="0" borderId="43" xfId="0" applyFont="1" applyBorder="1" applyAlignment="1">
      <alignment/>
    </xf>
    <xf numFmtId="0" fontId="44" fillId="0" borderId="84" xfId="0" applyFont="1" applyBorder="1" applyAlignment="1">
      <alignment/>
    </xf>
    <xf numFmtId="0" fontId="61" fillId="0" borderId="77" xfId="0" applyFont="1" applyFill="1" applyBorder="1" applyAlignment="1">
      <alignment/>
    </xf>
    <xf numFmtId="174" fontId="62" fillId="0" borderId="34" xfId="0" applyNumberFormat="1" applyFont="1" applyFill="1" applyBorder="1" applyAlignment="1">
      <alignment horizontal="right"/>
    </xf>
    <xf numFmtId="0" fontId="44" fillId="0" borderId="78" xfId="0" applyFont="1" applyFill="1" applyBorder="1" applyAlignment="1">
      <alignment horizontal="center"/>
    </xf>
    <xf numFmtId="0" fontId="44" fillId="0" borderId="53" xfId="0" applyFont="1" applyFill="1" applyBorder="1" applyAlignment="1">
      <alignment/>
    </xf>
    <xf numFmtId="0" fontId="51" fillId="10" borderId="86" xfId="0" applyFont="1" applyFill="1" applyBorder="1" applyAlignment="1">
      <alignment horizontal="center"/>
    </xf>
    <xf numFmtId="0" fontId="53" fillId="10" borderId="87" xfId="0" applyFont="1" applyFill="1" applyBorder="1" applyAlignment="1">
      <alignment/>
    </xf>
    <xf numFmtId="0" fontId="44" fillId="10" borderId="87" xfId="0" applyFont="1" applyFill="1" applyBorder="1" applyAlignment="1">
      <alignment/>
    </xf>
    <xf numFmtId="0" fontId="44" fillId="10" borderId="85" xfId="0" applyFont="1" applyFill="1" applyBorder="1" applyAlignment="1">
      <alignment/>
    </xf>
    <xf numFmtId="174" fontId="52" fillId="10" borderId="88" xfId="0" applyNumberFormat="1" applyFont="1" applyFill="1" applyBorder="1" applyAlignment="1">
      <alignment/>
    </xf>
    <xf numFmtId="49" fontId="44" fillId="0" borderId="41" xfId="0" applyNumberFormat="1" applyFont="1" applyFill="1" applyBorder="1" applyAlignment="1">
      <alignment horizontal="center"/>
    </xf>
    <xf numFmtId="0" fontId="44" fillId="8" borderId="39" xfId="0" applyFont="1" applyFill="1" applyBorder="1" applyAlignment="1">
      <alignment/>
    </xf>
    <xf numFmtId="0" fontId="44" fillId="8" borderId="84" xfId="0" applyFont="1" applyFill="1" applyBorder="1" applyAlignment="1">
      <alignment/>
    </xf>
    <xf numFmtId="174" fontId="44" fillId="0" borderId="38" xfId="0" applyNumberFormat="1" applyFont="1" applyFill="1" applyBorder="1" applyAlignment="1">
      <alignment horizontal="right"/>
    </xf>
    <xf numFmtId="3" fontId="44" fillId="0" borderId="43" xfId="0" applyNumberFormat="1" applyFont="1" applyFill="1" applyBorder="1" applyAlignment="1">
      <alignment horizontal="right"/>
    </xf>
    <xf numFmtId="174" fontId="0" fillId="9" borderId="80" xfId="0" applyNumberFormat="1" applyFont="1" applyFill="1" applyBorder="1" applyAlignment="1">
      <alignment horizontal="center"/>
    </xf>
    <xf numFmtId="0" fontId="60" fillId="7" borderId="23" xfId="0" applyFont="1" applyFill="1" applyBorder="1" applyAlignment="1">
      <alignment vertical="center"/>
    </xf>
    <xf numFmtId="0" fontId="63" fillId="7" borderId="23" xfId="0" applyFont="1" applyFill="1" applyBorder="1" applyAlignment="1">
      <alignment/>
    </xf>
    <xf numFmtId="0" fontId="63" fillId="7" borderId="69" xfId="0" applyFont="1" applyFill="1" applyBorder="1" applyAlignment="1">
      <alignment/>
    </xf>
    <xf numFmtId="0" fontId="52" fillId="0" borderId="70" xfId="0" applyFont="1" applyFill="1" applyBorder="1" applyAlignment="1">
      <alignment/>
    </xf>
    <xf numFmtId="174" fontId="50" fillId="0" borderId="29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52" fillId="0" borderId="77" xfId="0" applyFont="1" applyFill="1" applyBorder="1" applyAlignment="1">
      <alignment/>
    </xf>
    <xf numFmtId="174" fontId="50" fillId="0" borderId="34" xfId="0" applyNumberFormat="1" applyFont="1" applyFill="1" applyBorder="1" applyAlignment="1">
      <alignment/>
    </xf>
    <xf numFmtId="3" fontId="44" fillId="0" borderId="14" xfId="0" applyNumberFormat="1" applyFont="1" applyFill="1" applyBorder="1" applyAlignment="1">
      <alignment/>
    </xf>
    <xf numFmtId="174" fontId="48" fillId="0" borderId="29" xfId="0" applyNumberFormat="1" applyFont="1" applyFill="1" applyBorder="1" applyAlignment="1">
      <alignment/>
    </xf>
    <xf numFmtId="174" fontId="48" fillId="0" borderId="34" xfId="0" applyNumberFormat="1" applyFont="1" applyFill="1" applyBorder="1" applyAlignment="1">
      <alignment/>
    </xf>
    <xf numFmtId="3" fontId="50" fillId="7" borderId="0" xfId="0" applyNumberFormat="1" applyFont="1" applyFill="1" applyBorder="1" applyAlignment="1">
      <alignment horizontal="right"/>
    </xf>
    <xf numFmtId="3" fontId="50" fillId="15" borderId="14" xfId="0" applyNumberFormat="1" applyFont="1" applyFill="1" applyBorder="1" applyAlignment="1">
      <alignment horizontal="right"/>
    </xf>
    <xf numFmtId="3" fontId="50" fillId="3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49" fontId="50" fillId="3" borderId="0" xfId="0" applyNumberFormat="1" applyFont="1" applyFill="1" applyBorder="1" applyAlignment="1">
      <alignment horizontal="right"/>
    </xf>
    <xf numFmtId="0" fontId="44" fillId="3" borderId="70" xfId="0" applyFont="1" applyFill="1" applyBorder="1" applyAlignment="1">
      <alignment/>
    </xf>
    <xf numFmtId="174" fontId="44" fillId="3" borderId="29" xfId="0" applyNumberFormat="1" applyFont="1" applyFill="1" applyBorder="1" applyAlignment="1">
      <alignment horizontal="right"/>
    </xf>
    <xf numFmtId="3" fontId="44" fillId="7" borderId="51" xfId="0" applyNumberFormat="1" applyFont="1" applyFill="1" applyBorder="1" applyAlignment="1">
      <alignment horizontal="right"/>
    </xf>
    <xf numFmtId="3" fontId="44" fillId="7" borderId="0" xfId="0" applyNumberFormat="1" applyFont="1" applyFill="1" applyBorder="1" applyAlignment="1">
      <alignment horizontal="right"/>
    </xf>
    <xf numFmtId="0" fontId="50" fillId="0" borderId="30" xfId="0" applyFont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/>
    </xf>
    <xf numFmtId="0" fontId="36" fillId="8" borderId="0" xfId="0" applyFont="1" applyFill="1" applyBorder="1" applyAlignment="1">
      <alignment/>
    </xf>
    <xf numFmtId="4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9" borderId="48" xfId="0" applyNumberFormat="1" applyFont="1" applyFill="1" applyBorder="1" applyAlignment="1">
      <alignment horizontal="center"/>
    </xf>
    <xf numFmtId="0" fontId="44" fillId="0" borderId="86" xfId="0" applyFont="1" applyFill="1" applyBorder="1" applyAlignment="1">
      <alignment horizontal="center"/>
    </xf>
    <xf numFmtId="0" fontId="49" fillId="7" borderId="26" xfId="0" applyFont="1" applyFill="1" applyBorder="1" applyAlignment="1">
      <alignment horizontal="left" vertical="center"/>
    </xf>
    <xf numFmtId="3" fontId="55" fillId="7" borderId="27" xfId="0" applyNumberFormat="1" applyFont="1" applyFill="1" applyBorder="1" applyAlignment="1">
      <alignment/>
    </xf>
    <xf numFmtId="0" fontId="44" fillId="0" borderId="82" xfId="0" applyFont="1" applyFill="1" applyBorder="1" applyAlignment="1">
      <alignment horizontal="center"/>
    </xf>
    <xf numFmtId="0" fontId="51" fillId="1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61" fillId="8" borderId="13" xfId="0" applyFont="1" applyFill="1" applyBorder="1" applyAlignment="1">
      <alignment/>
    </xf>
    <xf numFmtId="0" fontId="64" fillId="8" borderId="77" xfId="0" applyFont="1" applyFill="1" applyBorder="1" applyAlignment="1">
      <alignment/>
    </xf>
    <xf numFmtId="174" fontId="64" fillId="0" borderId="34" xfId="0" applyNumberFormat="1" applyFont="1" applyFill="1" applyBorder="1" applyAlignment="1">
      <alignment horizontal="right"/>
    </xf>
    <xf numFmtId="3" fontId="61" fillId="0" borderId="31" xfId="0" applyNumberFormat="1" applyFont="1" applyFill="1" applyBorder="1" applyAlignment="1">
      <alignment horizontal="right"/>
    </xf>
    <xf numFmtId="3" fontId="61" fillId="0" borderId="14" xfId="0" applyNumberFormat="1" applyFont="1" applyFill="1" applyBorder="1" applyAlignment="1">
      <alignment horizontal="right"/>
    </xf>
    <xf numFmtId="49" fontId="44" fillId="0" borderId="30" xfId="0" applyNumberFormat="1" applyFont="1" applyFill="1" applyBorder="1" applyAlignment="1">
      <alignment horizontal="right"/>
    </xf>
    <xf numFmtId="0" fontId="51" fillId="8" borderId="21" xfId="0" applyFont="1" applyFill="1" applyBorder="1" applyAlignment="1">
      <alignment horizontal="center"/>
    </xf>
    <xf numFmtId="0" fontId="53" fillId="8" borderId="89" xfId="0" applyFont="1" applyFill="1" applyBorder="1" applyAlignment="1">
      <alignment/>
    </xf>
    <xf numFmtId="0" fontId="61" fillId="8" borderId="14" xfId="0" applyFont="1" applyFill="1" applyBorder="1" applyAlignment="1">
      <alignment/>
    </xf>
    <xf numFmtId="0" fontId="65" fillId="8" borderId="90" xfId="0" applyFont="1" applyFill="1" applyBorder="1" applyAlignment="1">
      <alignment/>
    </xf>
    <xf numFmtId="174" fontId="62" fillId="8" borderId="91" xfId="0" applyNumberFormat="1" applyFont="1" applyFill="1" applyBorder="1" applyAlignment="1">
      <alignment/>
    </xf>
    <xf numFmtId="3" fontId="61" fillId="8" borderId="31" xfId="0" applyNumberFormat="1" applyFont="1" applyFill="1" applyBorder="1" applyAlignment="1">
      <alignment/>
    </xf>
    <xf numFmtId="0" fontId="65" fillId="8" borderId="14" xfId="0" applyFont="1" applyFill="1" applyBorder="1" applyAlignment="1">
      <alignment/>
    </xf>
    <xf numFmtId="174" fontId="62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174" fontId="50" fillId="8" borderId="14" xfId="0" applyNumberFormat="1" applyFont="1" applyFill="1" applyBorder="1" applyAlignment="1">
      <alignment/>
    </xf>
    <xf numFmtId="3" fontId="44" fillId="8" borderId="31" xfId="0" applyNumberFormat="1" applyFont="1" applyFill="1" applyBorder="1" applyAlignment="1">
      <alignment/>
    </xf>
    <xf numFmtId="0" fontId="64" fillId="8" borderId="32" xfId="0" applyFont="1" applyFill="1" applyBorder="1" applyAlignment="1">
      <alignment/>
    </xf>
    <xf numFmtId="174" fontId="64" fillId="0" borderId="0" xfId="0" applyNumberFormat="1" applyFont="1" applyFill="1" applyBorder="1" applyAlignment="1">
      <alignment horizontal="right"/>
    </xf>
    <xf numFmtId="3" fontId="61" fillId="8" borderId="15" xfId="0" applyNumberFormat="1" applyFont="1" applyFill="1" applyBorder="1" applyAlignment="1">
      <alignment/>
    </xf>
    <xf numFmtId="0" fontId="46" fillId="0" borderId="70" xfId="0" applyFont="1" applyFill="1" applyBorder="1" applyAlignment="1">
      <alignment/>
    </xf>
    <xf numFmtId="174" fontId="46" fillId="0" borderId="29" xfId="0" applyNumberFormat="1" applyFont="1" applyFill="1" applyBorder="1" applyAlignment="1">
      <alignment horizontal="right"/>
    </xf>
    <xf numFmtId="0" fontId="44" fillId="0" borderId="50" xfId="0" applyFont="1" applyBorder="1" applyAlignment="1">
      <alignment horizontal="center"/>
    </xf>
    <xf numFmtId="49" fontId="56" fillId="0" borderId="79" xfId="0" applyNumberFormat="1" applyFont="1" applyFill="1" applyBorder="1" applyAlignment="1">
      <alignment horizontal="right"/>
    </xf>
    <xf numFmtId="174" fontId="25" fillId="0" borderId="0" xfId="0" applyNumberFormat="1" applyFont="1" applyAlignment="1">
      <alignment/>
    </xf>
    <xf numFmtId="0" fontId="49" fillId="7" borderId="48" xfId="0" applyFont="1" applyFill="1" applyBorder="1" applyAlignment="1">
      <alignment horizontal="left" vertical="center"/>
    </xf>
    <xf numFmtId="174" fontId="49" fillId="7" borderId="80" xfId="0" applyNumberFormat="1" applyFont="1" applyFill="1" applyBorder="1" applyAlignment="1">
      <alignment/>
    </xf>
    <xf numFmtId="3" fontId="49" fillId="7" borderId="47" xfId="0" applyNumberFormat="1" applyFont="1" applyFill="1" applyBorder="1" applyAlignment="1">
      <alignment/>
    </xf>
    <xf numFmtId="3" fontId="55" fillId="7" borderId="47" xfId="0" applyNumberFormat="1" applyFont="1" applyFill="1" applyBorder="1" applyAlignment="1">
      <alignment/>
    </xf>
    <xf numFmtId="175" fontId="52" fillId="10" borderId="29" xfId="0" applyNumberFormat="1" applyFont="1" applyFill="1" applyBorder="1" applyAlignment="1">
      <alignment/>
    </xf>
    <xf numFmtId="3" fontId="52" fillId="10" borderId="29" xfId="0" applyNumberFormat="1" applyFont="1" applyFill="1" applyBorder="1" applyAlignment="1">
      <alignment/>
    </xf>
    <xf numFmtId="175" fontId="50" fillId="7" borderId="29" xfId="0" applyNumberFormat="1" applyFont="1" applyFill="1" applyBorder="1" applyAlignment="1">
      <alignment/>
    </xf>
    <xf numFmtId="3" fontId="50" fillId="7" borderId="29" xfId="0" applyNumberFormat="1" applyFont="1" applyFill="1" applyBorder="1" applyAlignment="1">
      <alignment/>
    </xf>
    <xf numFmtId="175" fontId="50" fillId="15" borderId="34" xfId="0" applyNumberFormat="1" applyFont="1" applyFill="1" applyBorder="1" applyAlignment="1">
      <alignment horizontal="right"/>
    </xf>
    <xf numFmtId="3" fontId="52" fillId="10" borderId="51" xfId="0" applyNumberFormat="1" applyFont="1" applyFill="1" applyBorder="1" applyAlignment="1">
      <alignment/>
    </xf>
    <xf numFmtId="3" fontId="52" fillId="10" borderId="29" xfId="0" applyNumberFormat="1" applyFont="1" applyFill="1" applyBorder="1" applyAlignment="1">
      <alignment/>
    </xf>
    <xf numFmtId="3" fontId="50" fillId="15" borderId="34" xfId="0" applyNumberFormat="1" applyFont="1" applyFill="1" applyBorder="1" applyAlignment="1">
      <alignment/>
    </xf>
    <xf numFmtId="3" fontId="44" fillId="0" borderId="34" xfId="0" applyNumberFormat="1" applyFont="1" applyFill="1" applyBorder="1" applyAlignment="1">
      <alignment horizontal="right"/>
    </xf>
    <xf numFmtId="174" fontId="44" fillId="7" borderId="0" xfId="0" applyNumberFormat="1" applyFont="1" applyFill="1" applyBorder="1" applyAlignment="1">
      <alignment horizontal="right"/>
    </xf>
    <xf numFmtId="0" fontId="55" fillId="10" borderId="30" xfId="0" applyFont="1" applyFill="1" applyBorder="1" applyAlignment="1">
      <alignment horizontal="center"/>
    </xf>
    <xf numFmtId="0" fontId="0" fillId="10" borderId="92" xfId="0" applyFont="1" applyFill="1" applyBorder="1" applyAlignment="1">
      <alignment/>
    </xf>
    <xf numFmtId="174" fontId="0" fillId="10" borderId="29" xfId="0" applyNumberFormat="1" applyFont="1" applyFill="1" applyBorder="1" applyAlignment="1">
      <alignment horizontal="right"/>
    </xf>
    <xf numFmtId="3" fontId="52" fillId="10" borderId="29" xfId="0" applyNumberFormat="1" applyFont="1" applyFill="1" applyBorder="1" applyAlignment="1">
      <alignment horizontal="right"/>
    </xf>
    <xf numFmtId="3" fontId="44" fillId="7" borderId="29" xfId="0" applyNumberFormat="1" applyFont="1" applyFill="1" applyBorder="1" applyAlignment="1">
      <alignment horizontal="right"/>
    </xf>
    <xf numFmtId="3" fontId="44" fillId="15" borderId="34" xfId="0" applyNumberFormat="1" applyFont="1" applyFill="1" applyBorder="1" applyAlignment="1">
      <alignment horizontal="right"/>
    </xf>
    <xf numFmtId="0" fontId="61" fillId="8" borderId="77" xfId="0" applyFont="1" applyFill="1" applyBorder="1" applyAlignment="1">
      <alignment/>
    </xf>
    <xf numFmtId="174" fontId="61" fillId="0" borderId="34" xfId="0" applyNumberFormat="1" applyFont="1" applyFill="1" applyBorder="1" applyAlignment="1">
      <alignment horizontal="right"/>
    </xf>
    <xf numFmtId="3" fontId="61" fillId="0" borderId="34" xfId="0" applyNumberFormat="1" applyFont="1" applyFill="1" applyBorder="1" applyAlignment="1">
      <alignment horizontal="right"/>
    </xf>
    <xf numFmtId="174" fontId="44" fillId="0" borderId="63" xfId="0" applyNumberFormat="1" applyFont="1" applyFill="1" applyBorder="1" applyAlignment="1">
      <alignment horizontal="right"/>
    </xf>
    <xf numFmtId="3" fontId="44" fillId="0" borderId="63" xfId="0" applyNumberFormat="1" applyFont="1" applyBorder="1" applyAlignment="1">
      <alignment/>
    </xf>
    <xf numFmtId="3" fontId="44" fillId="0" borderId="61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0" fontId="55" fillId="10" borderId="88" xfId="0" applyFont="1" applyFill="1" applyBorder="1" applyAlignment="1">
      <alignment vertical="center"/>
    </xf>
    <xf numFmtId="0" fontId="55" fillId="10" borderId="85" xfId="0" applyFont="1" applyFill="1" applyBorder="1" applyAlignment="1">
      <alignment vertical="center"/>
    </xf>
    <xf numFmtId="0" fontId="55" fillId="10" borderId="29" xfId="0" applyFont="1" applyFill="1" applyBorder="1" applyAlignment="1">
      <alignment horizontal="left" vertical="center"/>
    </xf>
    <xf numFmtId="0" fontId="55" fillId="10" borderId="0" xfId="0" applyFont="1" applyFill="1" applyBorder="1" applyAlignment="1">
      <alignment horizontal="left" vertical="center"/>
    </xf>
    <xf numFmtId="0" fontId="0" fillId="10" borderId="57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center"/>
    </xf>
    <xf numFmtId="0" fontId="55" fillId="10" borderId="61" xfId="0" applyFont="1" applyFill="1" applyBorder="1" applyAlignment="1">
      <alignment horizontal="left" vertical="center"/>
    </xf>
    <xf numFmtId="0" fontId="55" fillId="10" borderId="53" xfId="0" applyFont="1" applyFill="1" applyBorder="1" applyAlignment="1">
      <alignment horizontal="left" vertical="center"/>
    </xf>
    <xf numFmtId="0" fontId="5" fillId="10" borderId="51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left" vertical="center"/>
    </xf>
    <xf numFmtId="0" fontId="0" fillId="0" borderId="87" xfId="0" applyFont="1" applyFill="1" applyBorder="1" applyAlignment="1">
      <alignment horizontal="left" vertical="center"/>
    </xf>
    <xf numFmtId="3" fontId="66" fillId="0" borderId="60" xfId="0" applyNumberFormat="1" applyFont="1" applyBorder="1" applyAlignment="1">
      <alignment/>
    </xf>
    <xf numFmtId="0" fontId="66" fillId="0" borderId="6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55" fillId="15" borderId="54" xfId="0" applyFont="1" applyFill="1" applyBorder="1" applyAlignment="1">
      <alignment/>
    </xf>
    <xf numFmtId="0" fontId="55" fillId="15" borderId="55" xfId="0" applyFont="1" applyFill="1" applyBorder="1" applyAlignment="1">
      <alignment/>
    </xf>
    <xf numFmtId="3" fontId="55" fillId="15" borderId="57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5" fillId="0" borderId="29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53" fillId="0" borderId="34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82" xfId="0" applyFont="1" applyBorder="1" applyAlignment="1">
      <alignment/>
    </xf>
    <xf numFmtId="0" fontId="0" fillId="0" borderId="20" xfId="0" applyFont="1" applyBorder="1" applyAlignment="1">
      <alignment/>
    </xf>
    <xf numFmtId="0" fontId="55" fillId="15" borderId="93" xfId="0" applyFont="1" applyFill="1" applyBorder="1" applyAlignment="1">
      <alignment/>
    </xf>
    <xf numFmtId="0" fontId="0" fillId="0" borderId="54" xfId="0" applyFont="1" applyBorder="1" applyAlignment="1">
      <alignment/>
    </xf>
    <xf numFmtId="174" fontId="0" fillId="0" borderId="51" xfId="0" applyNumberFormat="1" applyFont="1" applyBorder="1" applyAlignment="1">
      <alignment/>
    </xf>
    <xf numFmtId="3" fontId="55" fillId="7" borderId="57" xfId="0" applyNumberFormat="1" applyFont="1" applyFill="1" applyBorder="1" applyAlignment="1">
      <alignment/>
    </xf>
    <xf numFmtId="0" fontId="5" fillId="10" borderId="63" xfId="0" applyFont="1" applyFill="1" applyBorder="1" applyAlignment="1">
      <alignment horizontal="center" vertical="center"/>
    </xf>
    <xf numFmtId="3" fontId="0" fillId="15" borderId="81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3" fontId="0" fillId="15" borderId="49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3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33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70" xfId="0" applyBorder="1" applyAlignment="1">
      <alignment/>
    </xf>
    <xf numFmtId="3" fontId="0" fillId="15" borderId="32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/>
    </xf>
    <xf numFmtId="3" fontId="0" fillId="15" borderId="15" xfId="0" applyNumberFormat="1" applyFill="1" applyBorder="1" applyAlignment="1">
      <alignment/>
    </xf>
    <xf numFmtId="3" fontId="0" fillId="15" borderId="33" xfId="0" applyNumberFormat="1" applyFill="1" applyBorder="1" applyAlignment="1">
      <alignment/>
    </xf>
    <xf numFmtId="3" fontId="0" fillId="3" borderId="32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33" xfId="0" applyNumberForma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33" xfId="0" applyNumberFormat="1" applyFont="1" applyFill="1" applyBorder="1" applyAlignment="1">
      <alignment/>
    </xf>
    <xf numFmtId="3" fontId="0" fillId="4" borderId="40" xfId="0" applyNumberFormat="1" applyFont="1" applyFill="1" applyBorder="1" applyAlignment="1">
      <alignment/>
    </xf>
    <xf numFmtId="3" fontId="0" fillId="4" borderId="41" xfId="0" applyNumberFormat="1" applyFon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0" fillId="4" borderId="15" xfId="0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0" fontId="55" fillId="7" borderId="14" xfId="0" applyFont="1" applyFill="1" applyBorder="1" applyAlignment="1">
      <alignment/>
    </xf>
    <xf numFmtId="0" fontId="55" fillId="7" borderId="32" xfId="0" applyFont="1" applyFill="1" applyBorder="1" applyAlignment="1">
      <alignment/>
    </xf>
    <xf numFmtId="3" fontId="55" fillId="0" borderId="15" xfId="0" applyNumberFormat="1" applyFont="1" applyBorder="1" applyAlignment="1">
      <alignment horizontal="center"/>
    </xf>
    <xf numFmtId="2" fontId="55" fillId="0" borderId="15" xfId="0" applyNumberFormat="1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55" fillId="15" borderId="14" xfId="0" applyFont="1" applyFill="1" applyBorder="1" applyAlignment="1">
      <alignment/>
    </xf>
    <xf numFmtId="0" fontId="55" fillId="15" borderId="32" xfId="0" applyFont="1" applyFill="1" applyBorder="1" applyAlignment="1">
      <alignment/>
    </xf>
    <xf numFmtId="2" fontId="0" fillId="15" borderId="15" xfId="0" applyNumberFormat="1" applyFill="1" applyBorder="1" applyAlignment="1">
      <alignment/>
    </xf>
    <xf numFmtId="0" fontId="0" fillId="3" borderId="13" xfId="0" applyFont="1" applyFill="1" applyBorder="1" applyAlignment="1">
      <alignment/>
    </xf>
    <xf numFmtId="0" fontId="55" fillId="3" borderId="14" xfId="0" applyFont="1" applyFill="1" applyBorder="1" applyAlignment="1">
      <alignment/>
    </xf>
    <xf numFmtId="0" fontId="55" fillId="3" borderId="14" xfId="0" applyFont="1" applyFill="1" applyBorder="1" applyAlignment="1">
      <alignment horizontal="center"/>
    </xf>
    <xf numFmtId="0" fontId="55" fillId="3" borderId="32" xfId="0" applyFont="1" applyFill="1" applyBorder="1" applyAlignment="1">
      <alignment horizontal="center"/>
    </xf>
    <xf numFmtId="2" fontId="0" fillId="3" borderId="15" xfId="0" applyNumberForma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32" xfId="0" applyFill="1" applyBorder="1" applyAlignment="1">
      <alignment/>
    </xf>
    <xf numFmtId="3" fontId="0" fillId="10" borderId="15" xfId="0" applyNumberFormat="1" applyFill="1" applyBorder="1" applyAlignment="1">
      <alignment/>
    </xf>
    <xf numFmtId="2" fontId="0" fillId="10" borderId="15" xfId="0" applyNumberFormat="1" applyFill="1" applyBorder="1" applyAlignment="1">
      <alignment/>
    </xf>
    <xf numFmtId="0" fontId="55" fillId="15" borderId="13" xfId="0" applyFont="1" applyFill="1" applyBorder="1" applyAlignment="1">
      <alignment/>
    </xf>
    <xf numFmtId="0" fontId="55" fillId="15" borderId="14" xfId="0" applyFont="1" applyFill="1" applyBorder="1" applyAlignment="1">
      <alignment/>
    </xf>
    <xf numFmtId="0" fontId="55" fillId="15" borderId="32" xfId="0" applyFont="1" applyFill="1" applyBorder="1" applyAlignment="1">
      <alignment/>
    </xf>
    <xf numFmtId="3" fontId="55" fillId="15" borderId="15" xfId="0" applyNumberFormat="1" applyFont="1" applyFill="1" applyBorder="1" applyAlignment="1">
      <alignment/>
    </xf>
    <xf numFmtId="3" fontId="55" fillId="15" borderId="14" xfId="0" applyNumberFormat="1" applyFont="1" applyFill="1" applyBorder="1" applyAlignment="1">
      <alignment/>
    </xf>
    <xf numFmtId="2" fontId="55" fillId="15" borderId="15" xfId="0" applyNumberFormat="1" applyFont="1" applyFill="1" applyBorder="1" applyAlignment="1">
      <alignment/>
    </xf>
    <xf numFmtId="0" fontId="55" fillId="3" borderId="13" xfId="0" applyFont="1" applyFill="1" applyBorder="1" applyAlignment="1">
      <alignment/>
    </xf>
    <xf numFmtId="0" fontId="55" fillId="3" borderId="14" xfId="0" applyFont="1" applyFill="1" applyBorder="1" applyAlignment="1">
      <alignment/>
    </xf>
    <xf numFmtId="0" fontId="55" fillId="3" borderId="32" xfId="0" applyFont="1" applyFill="1" applyBorder="1" applyAlignment="1">
      <alignment/>
    </xf>
    <xf numFmtId="3" fontId="55" fillId="3" borderId="21" xfId="0" applyNumberFormat="1" applyFont="1" applyFill="1" applyBorder="1" applyAlignment="1">
      <alignment/>
    </xf>
    <xf numFmtId="3" fontId="55" fillId="3" borderId="0" xfId="0" applyNumberFormat="1" applyFont="1" applyFill="1" applyAlignment="1">
      <alignment/>
    </xf>
    <xf numFmtId="2" fontId="55" fillId="3" borderId="21" xfId="0" applyNumberFormat="1" applyFont="1" applyFill="1" applyBorder="1" applyAlignment="1">
      <alignment/>
    </xf>
    <xf numFmtId="0" fontId="55" fillId="10" borderId="13" xfId="0" applyFont="1" applyFill="1" applyBorder="1" applyAlignment="1">
      <alignment/>
    </xf>
    <xf numFmtId="0" fontId="55" fillId="10" borderId="14" xfId="0" applyFont="1" applyFill="1" applyBorder="1" applyAlignment="1">
      <alignment/>
    </xf>
    <xf numFmtId="0" fontId="55" fillId="10" borderId="32" xfId="0" applyFont="1" applyFill="1" applyBorder="1" applyAlignment="1">
      <alignment/>
    </xf>
    <xf numFmtId="3" fontId="55" fillId="10" borderId="15" xfId="0" applyNumberFormat="1" applyFont="1" applyFill="1" applyBorder="1" applyAlignment="1">
      <alignment/>
    </xf>
    <xf numFmtId="3" fontId="55" fillId="10" borderId="14" xfId="0" applyNumberFormat="1" applyFont="1" applyFill="1" applyBorder="1" applyAlignment="1">
      <alignment/>
    </xf>
    <xf numFmtId="2" fontId="55" fillId="10" borderId="15" xfId="0" applyNumberFormat="1" applyFont="1" applyFill="1" applyBorder="1" applyAlignment="1">
      <alignment/>
    </xf>
    <xf numFmtId="0" fontId="55" fillId="4" borderId="13" xfId="0" applyFont="1" applyFill="1" applyBorder="1" applyAlignment="1">
      <alignment/>
    </xf>
    <xf numFmtId="0" fontId="55" fillId="4" borderId="14" xfId="0" applyFont="1" applyFill="1" applyBorder="1" applyAlignment="1">
      <alignment/>
    </xf>
    <xf numFmtId="0" fontId="55" fillId="4" borderId="32" xfId="0" applyFont="1" applyFill="1" applyBorder="1" applyAlignment="1">
      <alignment/>
    </xf>
    <xf numFmtId="3" fontId="55" fillId="4" borderId="15" xfId="0" applyNumberFormat="1" applyFont="1" applyFill="1" applyBorder="1" applyAlignment="1">
      <alignment/>
    </xf>
    <xf numFmtId="3" fontId="55" fillId="4" borderId="14" xfId="0" applyNumberFormat="1" applyFont="1" applyFill="1" applyBorder="1" applyAlignment="1">
      <alignment/>
    </xf>
    <xf numFmtId="2" fontId="55" fillId="4" borderId="15" xfId="0" applyNumberFormat="1" applyFont="1" applyFill="1" applyBorder="1" applyAlignment="1">
      <alignment/>
    </xf>
    <xf numFmtId="4" fontId="5" fillId="0" borderId="0" xfId="586" applyNumberFormat="1" applyFont="1" applyBorder="1">
      <alignment/>
      <protection/>
    </xf>
    <xf numFmtId="4" fontId="5" fillId="0" borderId="0" xfId="586" applyNumberFormat="1" applyFont="1" applyBorder="1" applyAlignment="1">
      <alignment horizontal="center"/>
      <protection/>
    </xf>
    <xf numFmtId="173" fontId="25" fillId="0" borderId="0" xfId="565" applyFont="1" applyFill="1" applyBorder="1" applyAlignment="1" applyProtection="1">
      <alignment/>
      <protection/>
    </xf>
    <xf numFmtId="0" fontId="31" fillId="3" borderId="0" xfId="586" applyFont="1" applyFill="1" applyBorder="1">
      <alignment/>
      <protection/>
    </xf>
    <xf numFmtId="4" fontId="31" fillId="0" borderId="0" xfId="586" applyNumberFormat="1" applyFont="1" applyBorder="1">
      <alignment/>
      <protection/>
    </xf>
    <xf numFmtId="0" fontId="43" fillId="7" borderId="22" xfId="586" applyFont="1" applyFill="1" applyBorder="1">
      <alignment/>
      <protection/>
    </xf>
    <xf numFmtId="0" fontId="43" fillId="7" borderId="23" xfId="586" applyFont="1" applyFill="1" applyBorder="1" applyAlignment="1">
      <alignment vertical="top"/>
      <protection/>
    </xf>
    <xf numFmtId="0" fontId="43" fillId="7" borderId="24" xfId="586" applyFont="1" applyFill="1" applyBorder="1" applyAlignment="1">
      <alignment horizontal="center"/>
      <protection/>
    </xf>
    <xf numFmtId="1" fontId="31" fillId="7" borderId="94" xfId="586" applyNumberFormat="1" applyFont="1" applyFill="1" applyBorder="1" applyAlignment="1">
      <alignment horizontal="center" vertical="center"/>
      <protection/>
    </xf>
    <xf numFmtId="1" fontId="31" fillId="7" borderId="95" xfId="586" applyNumberFormat="1" applyFont="1" applyFill="1" applyBorder="1" applyAlignment="1">
      <alignment horizontal="center" vertical="center"/>
      <protection/>
    </xf>
    <xf numFmtId="4" fontId="43" fillId="0" borderId="0" xfId="586" applyNumberFormat="1" applyFont="1" applyFill="1" applyBorder="1" applyAlignment="1">
      <alignment horizontal="justify" vertical="top"/>
      <protection/>
    </xf>
    <xf numFmtId="1" fontId="43" fillId="0" borderId="0" xfId="586" applyNumberFormat="1" applyFont="1" applyFill="1" applyBorder="1" applyAlignment="1">
      <alignment horizontal="justify" vertical="top"/>
      <protection/>
    </xf>
    <xf numFmtId="1" fontId="43" fillId="0" borderId="0" xfId="586" applyNumberFormat="1" applyFont="1" applyFill="1" applyBorder="1" applyAlignment="1">
      <alignment horizontal="center" vertical="center"/>
      <protection/>
    </xf>
    <xf numFmtId="0" fontId="67" fillId="0" borderId="0" xfId="586" applyFont="1" applyFill="1" applyBorder="1" applyAlignment="1">
      <alignment horizontal="left"/>
      <protection/>
    </xf>
    <xf numFmtId="0" fontId="68" fillId="0" borderId="0" xfId="586" applyFont="1" applyFill="1" applyBorder="1">
      <alignment/>
      <protection/>
    </xf>
    <xf numFmtId="0" fontId="35" fillId="15" borderId="34" xfId="586" applyFont="1" applyFill="1" applyBorder="1">
      <alignment/>
      <protection/>
    </xf>
    <xf numFmtId="0" fontId="34" fillId="15" borderId="14" xfId="586" applyFont="1" applyFill="1" applyBorder="1" applyAlignment="1">
      <alignment vertical="top"/>
      <protection/>
    </xf>
    <xf numFmtId="0" fontId="34" fillId="15" borderId="32" xfId="586" applyFont="1" applyFill="1" applyBorder="1" applyAlignment="1">
      <alignment horizontal="left"/>
      <protection/>
    </xf>
    <xf numFmtId="4" fontId="35" fillId="15" borderId="17" xfId="586" applyNumberFormat="1" applyFont="1" applyFill="1" applyBorder="1">
      <alignment/>
      <protection/>
    </xf>
    <xf numFmtId="4" fontId="35" fillId="15" borderId="17" xfId="586" applyNumberFormat="1" applyFont="1" applyFill="1" applyBorder="1" applyAlignment="1">
      <alignment horizontal="right"/>
      <protection/>
    </xf>
    <xf numFmtId="4" fontId="35" fillId="15" borderId="35" xfId="586" applyNumberFormat="1" applyFont="1" applyFill="1" applyBorder="1" applyAlignment="1">
      <alignment horizontal="right"/>
      <protection/>
    </xf>
    <xf numFmtId="4" fontId="35" fillId="15" borderId="36" xfId="586" applyNumberFormat="1" applyFont="1" applyFill="1" applyBorder="1" applyAlignment="1">
      <alignment horizontal="right"/>
      <protection/>
    </xf>
    <xf numFmtId="4" fontId="35" fillId="15" borderId="37" xfId="586" applyNumberFormat="1" applyFont="1" applyFill="1" applyBorder="1" applyAlignment="1">
      <alignment horizontal="right"/>
      <protection/>
    </xf>
    <xf numFmtId="3" fontId="35" fillId="0" borderId="0" xfId="586" applyNumberFormat="1" applyFont="1" applyFill="1" applyBorder="1">
      <alignment/>
      <protection/>
    </xf>
    <xf numFmtId="0" fontId="67" fillId="0" borderId="0" xfId="586" applyFont="1" applyBorder="1" applyAlignment="1">
      <alignment horizontal="left"/>
      <protection/>
    </xf>
    <xf numFmtId="0" fontId="36" fillId="0" borderId="14" xfId="586" applyFont="1" applyFill="1" applyBorder="1" applyAlignment="1">
      <alignment vertical="top"/>
      <protection/>
    </xf>
    <xf numFmtId="0" fontId="36" fillId="0" borderId="32" xfId="586" applyFont="1" applyFill="1" applyBorder="1" applyAlignment="1">
      <alignment horizontal="left"/>
      <protection/>
    </xf>
    <xf numFmtId="4" fontId="36" fillId="0" borderId="17" xfId="586" applyNumberFormat="1" applyFont="1" applyFill="1" applyBorder="1">
      <alignment/>
      <protection/>
    </xf>
    <xf numFmtId="4" fontId="36" fillId="0" borderId="36" xfId="586" applyNumberFormat="1" applyFont="1" applyFill="1" applyBorder="1">
      <alignment/>
      <protection/>
    </xf>
    <xf numFmtId="4" fontId="36" fillId="0" borderId="37" xfId="586" applyNumberFormat="1" applyFont="1" applyFill="1" applyBorder="1">
      <alignment/>
      <protection/>
    </xf>
    <xf numFmtId="0" fontId="69" fillId="0" borderId="34" xfId="586" applyFont="1" applyBorder="1">
      <alignment/>
      <protection/>
    </xf>
    <xf numFmtId="0" fontId="69" fillId="0" borderId="32" xfId="586" applyFont="1" applyFill="1" applyBorder="1" applyAlignment="1">
      <alignment horizontal="left"/>
      <protection/>
    </xf>
    <xf numFmtId="4" fontId="69" fillId="0" borderId="17" xfId="586" applyNumberFormat="1" applyFont="1" applyFill="1" applyBorder="1" applyAlignment="1">
      <alignment horizontal="left"/>
      <protection/>
    </xf>
    <xf numFmtId="4" fontId="69" fillId="0" borderId="17" xfId="586" applyNumberFormat="1" applyFont="1" applyFill="1" applyBorder="1" applyAlignment="1">
      <alignment horizontal="right"/>
      <protection/>
    </xf>
    <xf numFmtId="4" fontId="69" fillId="9" borderId="35" xfId="586" applyNumberFormat="1" applyFont="1" applyFill="1" applyBorder="1" applyAlignment="1">
      <alignment horizontal="right"/>
      <protection/>
    </xf>
    <xf numFmtId="4" fontId="69" fillId="0" borderId="36" xfId="586" applyNumberFormat="1" applyFont="1" applyFill="1" applyBorder="1" applyAlignment="1">
      <alignment horizontal="left"/>
      <protection/>
    </xf>
    <xf numFmtId="4" fontId="69" fillId="0" borderId="37" xfId="586" applyNumberFormat="1" applyFont="1" applyFill="1" applyBorder="1" applyAlignment="1">
      <alignment horizontal="left"/>
      <protection/>
    </xf>
    <xf numFmtId="4" fontId="69" fillId="0" borderId="0" xfId="586" applyNumberFormat="1" applyFont="1" applyFill="1" applyBorder="1">
      <alignment/>
      <protection/>
    </xf>
    <xf numFmtId="0" fontId="70" fillId="0" borderId="34" xfId="586" applyFont="1" applyBorder="1">
      <alignment/>
      <protection/>
    </xf>
    <xf numFmtId="0" fontId="70" fillId="0" borderId="14" xfId="586" applyFont="1" applyFill="1" applyBorder="1" applyAlignment="1">
      <alignment vertical="top"/>
      <protection/>
    </xf>
    <xf numFmtId="0" fontId="69" fillId="0" borderId="14" xfId="586" applyFont="1" applyFill="1" applyBorder="1" applyAlignment="1">
      <alignment horizontal="left"/>
      <protection/>
    </xf>
    <xf numFmtId="4" fontId="69" fillId="0" borderId="13" xfId="586" applyNumberFormat="1" applyFont="1" applyFill="1" applyBorder="1" applyAlignment="1">
      <alignment horizontal="left"/>
      <protection/>
    </xf>
    <xf numFmtId="4" fontId="69" fillId="9" borderId="31" xfId="586" applyNumberFormat="1" applyFont="1" applyFill="1" applyBorder="1" applyAlignment="1">
      <alignment horizontal="left"/>
      <protection/>
    </xf>
    <xf numFmtId="4" fontId="69" fillId="0" borderId="32" xfId="586" applyNumberFormat="1" applyFont="1" applyFill="1" applyBorder="1" applyAlignment="1">
      <alignment horizontal="left"/>
      <protection/>
    </xf>
    <xf numFmtId="4" fontId="69" fillId="0" borderId="33" xfId="586" applyNumberFormat="1" applyFont="1" applyFill="1" applyBorder="1" applyAlignment="1">
      <alignment horizontal="left"/>
      <protection/>
    </xf>
    <xf numFmtId="4" fontId="36" fillId="0" borderId="13" xfId="586" applyNumberFormat="1" applyFont="1" applyFill="1" applyBorder="1">
      <alignment/>
      <protection/>
    </xf>
    <xf numFmtId="4" fontId="36" fillId="0" borderId="32" xfId="586" applyNumberFormat="1" applyFont="1" applyFill="1" applyBorder="1">
      <alignment/>
      <protection/>
    </xf>
    <xf numFmtId="0" fontId="37" fillId="8" borderId="34" xfId="586" applyFont="1" applyFill="1" applyBorder="1" applyAlignment="1">
      <alignment horizontal="right"/>
      <protection/>
    </xf>
    <xf numFmtId="0" fontId="37" fillId="8" borderId="14" xfId="586" applyFont="1" applyFill="1" applyBorder="1">
      <alignment/>
      <protection/>
    </xf>
    <xf numFmtId="4" fontId="37" fillId="8" borderId="13" xfId="586" applyNumberFormat="1" applyFont="1" applyFill="1" applyBorder="1">
      <alignment/>
      <protection/>
    </xf>
    <xf numFmtId="4" fontId="37" fillId="9" borderId="31" xfId="586" applyNumberFormat="1" applyFont="1" applyFill="1" applyBorder="1">
      <alignment/>
      <protection/>
    </xf>
    <xf numFmtId="4" fontId="37" fillId="8" borderId="32" xfId="586" applyNumberFormat="1" applyFont="1" applyFill="1" applyBorder="1">
      <alignment/>
      <protection/>
    </xf>
    <xf numFmtId="4" fontId="37" fillId="8" borderId="33" xfId="586" applyNumberFormat="1" applyFont="1" applyFill="1" applyBorder="1">
      <alignment/>
      <protection/>
    </xf>
    <xf numFmtId="0" fontId="71" fillId="0" borderId="34" xfId="586" applyFont="1" applyFill="1" applyBorder="1">
      <alignment/>
      <protection/>
    </xf>
    <xf numFmtId="0" fontId="71" fillId="0" borderId="14" xfId="586" applyFont="1" applyFill="1" applyBorder="1">
      <alignment/>
      <protection/>
    </xf>
    <xf numFmtId="4" fontId="71" fillId="0" borderId="13" xfId="586" applyNumberFormat="1" applyFont="1" applyFill="1" applyBorder="1">
      <alignment/>
      <protection/>
    </xf>
    <xf numFmtId="4" fontId="71" fillId="9" borderId="31" xfId="586" applyNumberFormat="1" applyFont="1" applyFill="1" applyBorder="1">
      <alignment/>
      <protection/>
    </xf>
    <xf numFmtId="4" fontId="71" fillId="0" borderId="32" xfId="586" applyNumberFormat="1" applyFont="1" applyFill="1" applyBorder="1">
      <alignment/>
      <protection/>
    </xf>
    <xf numFmtId="4" fontId="71" fillId="0" borderId="33" xfId="586" applyNumberFormat="1" applyFont="1" applyFill="1" applyBorder="1">
      <alignment/>
      <protection/>
    </xf>
    <xf numFmtId="4" fontId="71" fillId="0" borderId="0" xfId="586" applyNumberFormat="1" applyFont="1" applyFill="1" applyBorder="1">
      <alignment/>
      <protection/>
    </xf>
    <xf numFmtId="0" fontId="71" fillId="0" borderId="0" xfId="586" applyFont="1" applyFill="1" applyBorder="1">
      <alignment/>
      <protection/>
    </xf>
    <xf numFmtId="3" fontId="71" fillId="0" borderId="0" xfId="586" applyNumberFormat="1" applyFont="1" applyFill="1" applyBorder="1">
      <alignment/>
      <protection/>
    </xf>
    <xf numFmtId="0" fontId="71" fillId="0" borderId="45" xfId="586" applyFont="1" applyFill="1" applyBorder="1">
      <alignment/>
      <protection/>
    </xf>
    <xf numFmtId="0" fontId="71" fillId="0" borderId="18" xfId="586" applyFont="1" applyFill="1" applyBorder="1">
      <alignment/>
      <protection/>
    </xf>
    <xf numFmtId="0" fontId="69" fillId="0" borderId="34" xfId="586" applyFont="1" applyFill="1" applyBorder="1">
      <alignment/>
      <protection/>
    </xf>
    <xf numFmtId="0" fontId="69" fillId="0" borderId="14" xfId="586" applyFont="1" applyFill="1" applyBorder="1">
      <alignment/>
      <protection/>
    </xf>
    <xf numFmtId="0" fontId="72" fillId="0" borderId="14" xfId="586" applyFont="1" applyFill="1" applyBorder="1">
      <alignment/>
      <protection/>
    </xf>
    <xf numFmtId="0" fontId="72" fillId="0" borderId="0" xfId="586" applyFont="1" applyFill="1" applyBorder="1">
      <alignment/>
      <protection/>
    </xf>
    <xf numFmtId="3" fontId="72" fillId="0" borderId="0" xfId="586" applyNumberFormat="1" applyFont="1" applyFill="1" applyBorder="1">
      <alignment/>
      <protection/>
    </xf>
    <xf numFmtId="0" fontId="73" fillId="0" borderId="0" xfId="586" applyFont="1" applyFill="1" applyBorder="1">
      <alignment/>
      <protection/>
    </xf>
    <xf numFmtId="0" fontId="74" fillId="0" borderId="80" xfId="586" applyFont="1" applyFill="1" applyBorder="1">
      <alignment/>
      <protection/>
    </xf>
    <xf numFmtId="0" fontId="74" fillId="0" borderId="81" xfId="586" applyFont="1" applyFill="1" applyBorder="1">
      <alignment/>
      <protection/>
    </xf>
    <xf numFmtId="4" fontId="74" fillId="0" borderId="13" xfId="586" applyNumberFormat="1" applyFont="1" applyFill="1" applyBorder="1" applyAlignment="1">
      <alignment horizontal="right"/>
      <protection/>
    </xf>
    <xf numFmtId="4" fontId="74" fillId="9" borderId="31" xfId="586" applyNumberFormat="1" applyFont="1" applyFill="1" applyBorder="1" applyAlignment="1">
      <alignment horizontal="right"/>
      <protection/>
    </xf>
    <xf numFmtId="4" fontId="74" fillId="0" borderId="32" xfId="586" applyNumberFormat="1" applyFont="1" applyFill="1" applyBorder="1" applyAlignment="1">
      <alignment horizontal="right"/>
      <protection/>
    </xf>
    <xf numFmtId="4" fontId="74" fillId="0" borderId="33" xfId="586" applyNumberFormat="1" applyFont="1" applyFill="1" applyBorder="1" applyAlignment="1">
      <alignment horizontal="right"/>
      <protection/>
    </xf>
    <xf numFmtId="4" fontId="74" fillId="0" borderId="0" xfId="586" applyNumberFormat="1" applyFont="1" applyFill="1" applyBorder="1" applyAlignment="1">
      <alignment horizontal="right"/>
      <protection/>
    </xf>
    <xf numFmtId="3" fontId="74" fillId="0" borderId="0" xfId="586" applyNumberFormat="1" applyFont="1" applyFill="1" applyBorder="1" applyAlignment="1">
      <alignment horizontal="right"/>
      <protection/>
    </xf>
    <xf numFmtId="0" fontId="36" fillId="0" borderId="80" xfId="586" applyFont="1" applyFill="1" applyBorder="1">
      <alignment/>
      <protection/>
    </xf>
    <xf numFmtId="0" fontId="36" fillId="0" borderId="81" xfId="586" applyFont="1" applyFill="1" applyBorder="1">
      <alignment/>
      <protection/>
    </xf>
    <xf numFmtId="172" fontId="36" fillId="0" borderId="14" xfId="425" applyFont="1" applyFill="1" applyBorder="1" applyAlignment="1" applyProtection="1">
      <alignment horizontal="left"/>
      <protection/>
    </xf>
    <xf numFmtId="0" fontId="69" fillId="0" borderId="14" xfId="586" applyFont="1" applyBorder="1">
      <alignment/>
      <protection/>
    </xf>
    <xf numFmtId="0" fontId="73" fillId="0" borderId="0" xfId="586" applyFont="1" applyBorder="1">
      <alignment/>
      <protection/>
    </xf>
    <xf numFmtId="0" fontId="67" fillId="0" borderId="0" xfId="586" applyFont="1" applyBorder="1">
      <alignment/>
      <protection/>
    </xf>
    <xf numFmtId="0" fontId="69" fillId="0" borderId="0" xfId="586" applyFont="1" applyFill="1" applyBorder="1">
      <alignment/>
      <protection/>
    </xf>
    <xf numFmtId="3" fontId="69" fillId="0" borderId="0" xfId="586" applyNumberFormat="1" applyFont="1" applyFill="1" applyBorder="1">
      <alignment/>
      <protection/>
    </xf>
    <xf numFmtId="4" fontId="74" fillId="0" borderId="13" xfId="586" applyNumberFormat="1" applyFont="1" applyFill="1" applyBorder="1">
      <alignment/>
      <protection/>
    </xf>
    <xf numFmtId="4" fontId="74" fillId="9" borderId="31" xfId="586" applyNumberFormat="1" applyFont="1" applyFill="1" applyBorder="1">
      <alignment/>
      <protection/>
    </xf>
    <xf numFmtId="4" fontId="74" fillId="0" borderId="32" xfId="586" applyNumberFormat="1" applyFont="1" applyFill="1" applyBorder="1">
      <alignment/>
      <protection/>
    </xf>
    <xf numFmtId="4" fontId="74" fillId="0" borderId="33" xfId="586" applyNumberFormat="1" applyFont="1" applyFill="1" applyBorder="1">
      <alignment/>
      <protection/>
    </xf>
    <xf numFmtId="4" fontId="74" fillId="0" borderId="0" xfId="586" applyNumberFormat="1" applyFont="1" applyFill="1" applyBorder="1">
      <alignment/>
      <protection/>
    </xf>
    <xf numFmtId="3" fontId="74" fillId="0" borderId="0" xfId="586" applyNumberFormat="1" applyFont="1" applyFill="1" applyBorder="1">
      <alignment/>
      <protection/>
    </xf>
    <xf numFmtId="0" fontId="36" fillId="0" borderId="80" xfId="586" applyFont="1" applyBorder="1">
      <alignment/>
      <protection/>
    </xf>
    <xf numFmtId="0" fontId="36" fillId="0" borderId="81" xfId="586" applyFont="1" applyBorder="1">
      <alignment/>
      <protection/>
    </xf>
    <xf numFmtId="0" fontId="69" fillId="0" borderId="80" xfId="586" applyFont="1" applyBorder="1">
      <alignment/>
      <protection/>
    </xf>
    <xf numFmtId="0" fontId="69" fillId="0" borderId="81" xfId="586" applyFont="1" applyBorder="1">
      <alignment/>
      <protection/>
    </xf>
    <xf numFmtId="0" fontId="74" fillId="0" borderId="34" xfId="586" applyFont="1" applyFill="1" applyBorder="1">
      <alignment/>
      <protection/>
    </xf>
    <xf numFmtId="0" fontId="74" fillId="0" borderId="14" xfId="586" applyFont="1" applyFill="1" applyBorder="1">
      <alignment/>
      <protection/>
    </xf>
    <xf numFmtId="0" fontId="36" fillId="0" borderId="29" xfId="586" applyFont="1" applyBorder="1">
      <alignment/>
      <protection/>
    </xf>
    <xf numFmtId="4" fontId="5" fillId="0" borderId="13" xfId="586" applyNumberFormat="1" applyFont="1" applyBorder="1">
      <alignment/>
      <protection/>
    </xf>
    <xf numFmtId="4" fontId="5" fillId="9" borderId="31" xfId="586" applyNumberFormat="1" applyFont="1" applyFill="1" applyBorder="1">
      <alignment/>
      <protection/>
    </xf>
    <xf numFmtId="4" fontId="5" fillId="0" borderId="32" xfId="586" applyNumberFormat="1" applyFont="1" applyBorder="1">
      <alignment/>
      <protection/>
    </xf>
    <xf numFmtId="4" fontId="5" fillId="0" borderId="33" xfId="586" applyNumberFormat="1" applyFont="1" applyBorder="1">
      <alignment/>
      <protection/>
    </xf>
    <xf numFmtId="0" fontId="38" fillId="0" borderId="0" xfId="586" applyFont="1" applyFill="1" applyBorder="1" applyAlignment="1">
      <alignment horizontal="left"/>
      <protection/>
    </xf>
    <xf numFmtId="4" fontId="69" fillId="0" borderId="13" xfId="586" applyNumberFormat="1" applyFont="1" applyBorder="1" applyAlignment="1">
      <alignment horizontal="left"/>
      <protection/>
    </xf>
    <xf numFmtId="4" fontId="69" fillId="0" borderId="32" xfId="586" applyNumberFormat="1" applyFont="1" applyBorder="1" applyAlignment="1">
      <alignment horizontal="left"/>
      <protection/>
    </xf>
    <xf numFmtId="4" fontId="69" fillId="0" borderId="33" xfId="586" applyNumberFormat="1" applyFont="1" applyBorder="1" applyAlignment="1">
      <alignment horizontal="left"/>
      <protection/>
    </xf>
    <xf numFmtId="3" fontId="69" fillId="0" borderId="0" xfId="586" applyNumberFormat="1" applyFont="1" applyFill="1" applyBorder="1" applyAlignment="1">
      <alignment horizontal="right"/>
      <protection/>
    </xf>
    <xf numFmtId="3" fontId="40" fillId="0" borderId="0" xfId="586" applyNumberFormat="1" applyFont="1" applyFill="1" applyBorder="1" applyAlignment="1">
      <alignment horizontal="right"/>
      <protection/>
    </xf>
    <xf numFmtId="0" fontId="0" fillId="0" borderId="29" xfId="0" applyBorder="1" applyAlignment="1">
      <alignment/>
    </xf>
    <xf numFmtId="0" fontId="0" fillId="9" borderId="51" xfId="0" applyFill="1" applyBorder="1" applyAlignment="1">
      <alignment/>
    </xf>
    <xf numFmtId="0" fontId="0" fillId="0" borderId="30" xfId="0" applyBorder="1" applyAlignment="1">
      <alignment/>
    </xf>
    <xf numFmtId="0" fontId="69" fillId="0" borderId="45" xfId="586" applyFont="1" applyBorder="1">
      <alignment/>
      <protection/>
    </xf>
    <xf numFmtId="0" fontId="69" fillId="0" borderId="18" xfId="586" applyFont="1" applyBorder="1">
      <alignment/>
      <protection/>
    </xf>
    <xf numFmtId="0" fontId="74" fillId="0" borderId="34" xfId="586" applyFont="1" applyFill="1" applyBorder="1" applyAlignment="1">
      <alignment horizontal="right"/>
      <protection/>
    </xf>
    <xf numFmtId="0" fontId="75" fillId="0" borderId="0" xfId="586" applyFont="1" applyFill="1" applyBorder="1">
      <alignment/>
      <protection/>
    </xf>
    <xf numFmtId="0" fontId="36" fillId="0" borderId="80" xfId="586" applyFont="1" applyFill="1" applyBorder="1" applyAlignment="1">
      <alignment horizontal="right"/>
      <protection/>
    </xf>
    <xf numFmtId="3" fontId="36" fillId="0" borderId="0" xfId="586" applyNumberFormat="1" applyFont="1" applyFill="1" applyBorder="1" applyAlignment="1">
      <alignment horizontal="left"/>
      <protection/>
    </xf>
    <xf numFmtId="176" fontId="35" fillId="15" borderId="34" xfId="586" applyNumberFormat="1" applyFont="1" applyFill="1" applyBorder="1" applyAlignment="1">
      <alignment horizontal="left"/>
      <protection/>
    </xf>
    <xf numFmtId="0" fontId="34" fillId="15" borderId="14" xfId="586" applyFont="1" applyFill="1" applyBorder="1">
      <alignment/>
      <protection/>
    </xf>
    <xf numFmtId="4" fontId="35" fillId="15" borderId="13" xfId="586" applyNumberFormat="1" applyFont="1" applyFill="1" applyBorder="1">
      <alignment/>
      <protection/>
    </xf>
    <xf numFmtId="0" fontId="35" fillId="0" borderId="0" xfId="586" applyFont="1" applyFill="1" applyBorder="1">
      <alignment/>
      <protection/>
    </xf>
    <xf numFmtId="0" fontId="36" fillId="0" borderId="81" xfId="586" applyFont="1" applyFill="1" applyBorder="1" applyAlignment="1">
      <alignment horizontal="left"/>
      <protection/>
    </xf>
    <xf numFmtId="0" fontId="35" fillId="15" borderId="45" xfId="586" applyFont="1" applyFill="1" applyBorder="1">
      <alignment/>
      <protection/>
    </xf>
    <xf numFmtId="0" fontId="34" fillId="15" borderId="18" xfId="586" applyFont="1" applyFill="1" applyBorder="1">
      <alignment/>
      <protection/>
    </xf>
    <xf numFmtId="4" fontId="35" fillId="15" borderId="15" xfId="586" applyNumberFormat="1" applyFont="1" applyFill="1" applyBorder="1">
      <alignment/>
      <protection/>
    </xf>
    <xf numFmtId="4" fontId="35" fillId="15" borderId="46" xfId="586" applyNumberFormat="1" applyFont="1" applyFill="1" applyBorder="1" applyAlignment="1">
      <alignment horizontal="right"/>
      <protection/>
    </xf>
    <xf numFmtId="0" fontId="36" fillId="0" borderId="14" xfId="586" applyFont="1" applyFill="1" applyBorder="1" applyAlignment="1">
      <alignment horizontal="left"/>
      <protection/>
    </xf>
    <xf numFmtId="4" fontId="69" fillId="0" borderId="15" xfId="586" applyNumberFormat="1" applyFont="1" applyBorder="1" applyAlignment="1">
      <alignment horizontal="left"/>
      <protection/>
    </xf>
    <xf numFmtId="4" fontId="36" fillId="0" borderId="15" xfId="586" applyNumberFormat="1" applyFont="1" applyBorder="1" applyAlignment="1">
      <alignment horizontal="left"/>
      <protection/>
    </xf>
    <xf numFmtId="3" fontId="69" fillId="0" borderId="0" xfId="586" applyNumberFormat="1" applyFont="1" applyFill="1" applyBorder="1" applyAlignment="1">
      <alignment horizontal="left"/>
      <protection/>
    </xf>
    <xf numFmtId="49" fontId="31" fillId="4" borderId="38" xfId="586" applyNumberFormat="1" applyFont="1" applyFill="1" applyBorder="1" applyAlignment="1">
      <alignment horizontal="right"/>
      <protection/>
    </xf>
    <xf numFmtId="0" fontId="36" fillId="4" borderId="40" xfId="586" applyFont="1" applyFill="1" applyBorder="1">
      <alignment/>
      <protection/>
    </xf>
    <xf numFmtId="0" fontId="31" fillId="4" borderId="41" xfId="586" applyFont="1" applyFill="1" applyBorder="1">
      <alignment/>
      <protection/>
    </xf>
    <xf numFmtId="4" fontId="37" fillId="4" borderId="50" xfId="586" applyNumberFormat="1" applyFont="1" applyFill="1" applyBorder="1" applyAlignment="1">
      <alignment horizontal="right"/>
      <protection/>
    </xf>
    <xf numFmtId="4" fontId="37" fillId="4" borderId="64" xfId="586" applyNumberFormat="1" applyFont="1" applyFill="1" applyBorder="1" applyAlignment="1">
      <alignment horizontal="right"/>
      <protection/>
    </xf>
    <xf numFmtId="4" fontId="37" fillId="4" borderId="63" xfId="586" applyNumberFormat="1" applyFont="1" applyFill="1" applyBorder="1" applyAlignment="1">
      <alignment horizontal="right"/>
      <protection/>
    </xf>
    <xf numFmtId="4" fontId="37" fillId="4" borderId="79" xfId="586" applyNumberFormat="1" applyFont="1" applyFill="1" applyBorder="1" applyAlignment="1">
      <alignment horizontal="right"/>
      <protection/>
    </xf>
    <xf numFmtId="4" fontId="37" fillId="4" borderId="65" xfId="586" applyNumberFormat="1" applyFont="1" applyFill="1" applyBorder="1" applyAlignment="1">
      <alignment horizontal="right"/>
      <protection/>
    </xf>
    <xf numFmtId="2" fontId="76" fillId="0" borderId="0" xfId="586" applyNumberFormat="1" applyFont="1" applyBorder="1" applyAlignment="1">
      <alignment horizontal="left"/>
      <protection/>
    </xf>
    <xf numFmtId="4" fontId="36" fillId="0" borderId="0" xfId="586" applyNumberFormat="1" applyFont="1" applyFill="1" applyBorder="1" applyAlignment="1">
      <alignment horizontal="left"/>
      <protection/>
    </xf>
    <xf numFmtId="0" fontId="43" fillId="7" borderId="23" xfId="586" applyFont="1" applyFill="1" applyBorder="1" applyAlignment="1">
      <alignment horizontal="center"/>
      <protection/>
    </xf>
    <xf numFmtId="1" fontId="43" fillId="7" borderId="26" xfId="586" applyNumberFormat="1" applyFont="1" applyFill="1" applyBorder="1" applyAlignment="1">
      <alignment horizontal="center" vertical="center"/>
      <protection/>
    </xf>
    <xf numFmtId="1" fontId="43" fillId="7" borderId="27" xfId="586" applyNumberFormat="1" applyFont="1" applyFill="1" applyBorder="1" applyAlignment="1">
      <alignment horizontal="center" vertical="center"/>
      <protection/>
    </xf>
    <xf numFmtId="1" fontId="43" fillId="7" borderId="24" xfId="586" applyNumberFormat="1" applyFont="1" applyFill="1" applyBorder="1" applyAlignment="1">
      <alignment horizontal="center" vertical="center"/>
      <protection/>
    </xf>
    <xf numFmtId="1" fontId="43" fillId="7" borderId="28" xfId="586" applyNumberFormat="1" applyFont="1" applyFill="1" applyBorder="1" applyAlignment="1">
      <alignment horizontal="center" vertical="center"/>
      <protection/>
    </xf>
    <xf numFmtId="0" fontId="43" fillId="0" borderId="0" xfId="586" applyFont="1" applyFill="1" applyBorder="1" applyAlignment="1">
      <alignment horizontal="justify" vertical="center"/>
      <protection/>
    </xf>
    <xf numFmtId="0" fontId="43" fillId="0" borderId="0" xfId="586" applyFont="1" applyFill="1" applyBorder="1" applyAlignment="1">
      <alignment horizontal="center" vertical="center"/>
      <protection/>
    </xf>
    <xf numFmtId="2" fontId="43" fillId="0" borderId="0" xfId="586" applyNumberFormat="1" applyFont="1" applyFill="1" applyBorder="1" applyAlignment="1">
      <alignment horizontal="justify" vertical="center"/>
      <protection/>
    </xf>
    <xf numFmtId="0" fontId="68" fillId="0" borderId="0" xfId="586" applyFont="1" applyBorder="1">
      <alignment/>
      <protection/>
    </xf>
    <xf numFmtId="4" fontId="37" fillId="15" borderId="15" xfId="586" applyNumberFormat="1" applyFont="1" applyFill="1" applyBorder="1">
      <alignment/>
      <protection/>
    </xf>
    <xf numFmtId="4" fontId="37" fillId="15" borderId="13" xfId="586" applyNumberFormat="1" applyFont="1" applyFill="1" applyBorder="1">
      <alignment/>
      <protection/>
    </xf>
    <xf numFmtId="4" fontId="37" fillId="15" borderId="31" xfId="586" applyNumberFormat="1" applyFont="1" applyFill="1" applyBorder="1">
      <alignment/>
      <protection/>
    </xf>
    <xf numFmtId="4" fontId="37" fillId="15" borderId="32" xfId="586" applyNumberFormat="1" applyFont="1" applyFill="1" applyBorder="1">
      <alignment/>
      <protection/>
    </xf>
    <xf numFmtId="4" fontId="37" fillId="15" borderId="33" xfId="586" applyNumberFormat="1" applyFont="1" applyFill="1" applyBorder="1">
      <alignment/>
      <protection/>
    </xf>
    <xf numFmtId="1" fontId="35" fillId="0" borderId="0" xfId="586" applyNumberFormat="1" applyFont="1" applyFill="1" applyBorder="1">
      <alignment/>
      <protection/>
    </xf>
    <xf numFmtId="2" fontId="35" fillId="0" borderId="0" xfId="586" applyNumberFormat="1" applyFont="1" applyFill="1" applyBorder="1">
      <alignment/>
      <protection/>
    </xf>
    <xf numFmtId="0" fontId="37" fillId="0" borderId="0" xfId="586" applyFont="1" applyFill="1" applyBorder="1">
      <alignment/>
      <protection/>
    </xf>
    <xf numFmtId="0" fontId="34" fillId="0" borderId="0" xfId="586" applyFont="1" applyBorder="1">
      <alignment/>
      <protection/>
    </xf>
    <xf numFmtId="0" fontId="36" fillId="0" borderId="0" xfId="586" applyFont="1" applyFill="1" applyBorder="1" applyAlignment="1">
      <alignment horizontal="right"/>
      <protection/>
    </xf>
    <xf numFmtId="4" fontId="35" fillId="4" borderId="50" xfId="586" applyNumberFormat="1" applyFont="1" applyFill="1" applyBorder="1">
      <alignment/>
      <protection/>
    </xf>
    <xf numFmtId="4" fontId="35" fillId="4" borderId="64" xfId="586" applyNumberFormat="1" applyFont="1" applyFill="1" applyBorder="1">
      <alignment/>
      <protection/>
    </xf>
    <xf numFmtId="4" fontId="35" fillId="4" borderId="63" xfId="586" applyNumberFormat="1" applyFont="1" applyFill="1" applyBorder="1">
      <alignment/>
      <protection/>
    </xf>
    <xf numFmtId="4" fontId="35" fillId="4" borderId="79" xfId="586" applyNumberFormat="1" applyFont="1" applyFill="1" applyBorder="1">
      <alignment/>
      <protection/>
    </xf>
    <xf numFmtId="4" fontId="35" fillId="4" borderId="65" xfId="586" applyNumberFormat="1" applyFont="1" applyFill="1" applyBorder="1">
      <alignment/>
      <protection/>
    </xf>
    <xf numFmtId="49" fontId="31" fillId="0" borderId="0" xfId="586" applyNumberFormat="1" applyFont="1" applyFill="1" applyBorder="1" applyAlignment="1">
      <alignment horizontal="right"/>
      <protection/>
    </xf>
    <xf numFmtId="4" fontId="31" fillId="0" borderId="0" xfId="586" applyNumberFormat="1" applyFont="1" applyFill="1" applyBorder="1" applyAlignment="1">
      <alignment horizontal="right"/>
      <protection/>
    </xf>
    <xf numFmtId="4" fontId="31" fillId="0" borderId="0" xfId="586" applyNumberFormat="1" applyFont="1" applyFill="1" applyBorder="1" applyAlignment="1">
      <alignment horizontal="center"/>
      <protection/>
    </xf>
    <xf numFmtId="0" fontId="31" fillId="0" borderId="0" xfId="586" applyFont="1" applyFill="1" applyBorder="1" applyAlignment="1">
      <alignment horizontal="center"/>
      <protection/>
    </xf>
    <xf numFmtId="4" fontId="35" fillId="15" borderId="31" xfId="586" applyNumberFormat="1" applyFont="1" applyFill="1" applyBorder="1">
      <alignment/>
      <protection/>
    </xf>
    <xf numFmtId="4" fontId="35" fillId="15" borderId="32" xfId="586" applyNumberFormat="1" applyFont="1" applyFill="1" applyBorder="1">
      <alignment/>
      <protection/>
    </xf>
    <xf numFmtId="4" fontId="35" fillId="15" borderId="33" xfId="586" applyNumberFormat="1" applyFont="1" applyFill="1" applyBorder="1">
      <alignment/>
      <protection/>
    </xf>
    <xf numFmtId="3" fontId="35" fillId="0" borderId="0" xfId="586" applyNumberFormat="1" applyFont="1" applyFill="1" applyBorder="1" applyAlignment="1">
      <alignment horizontal="right"/>
      <protection/>
    </xf>
    <xf numFmtId="0" fontId="36" fillId="0" borderId="0" xfId="586" applyFont="1" applyFill="1" applyBorder="1" applyAlignment="1">
      <alignment horizontal="left"/>
      <protection/>
    </xf>
    <xf numFmtId="4" fontId="36" fillId="0" borderId="40" xfId="586" applyNumberFormat="1" applyFont="1" applyBorder="1">
      <alignment/>
      <protection/>
    </xf>
    <xf numFmtId="4" fontId="76" fillId="0" borderId="0" xfId="586" applyNumberFormat="1" applyFont="1" applyBorder="1" applyAlignment="1">
      <alignment horizontal="left"/>
      <protection/>
    </xf>
    <xf numFmtId="0" fontId="5" fillId="0" borderId="20" xfId="586" applyFont="1" applyFill="1" applyBorder="1">
      <alignment/>
      <protection/>
    </xf>
    <xf numFmtId="0" fontId="35" fillId="15" borderId="22" xfId="586" applyFont="1" applyFill="1" applyBorder="1">
      <alignment/>
      <protection/>
    </xf>
    <xf numFmtId="0" fontId="34" fillId="15" borderId="23" xfId="586" applyFont="1" applyFill="1" applyBorder="1">
      <alignment/>
      <protection/>
    </xf>
    <xf numFmtId="4" fontId="35" fillId="15" borderId="25" xfId="586" applyNumberFormat="1" applyFont="1" applyFill="1" applyBorder="1">
      <alignment/>
      <protection/>
    </xf>
    <xf numFmtId="4" fontId="35" fillId="15" borderId="26" xfId="586" applyNumberFormat="1" applyFont="1" applyFill="1" applyBorder="1">
      <alignment/>
      <protection/>
    </xf>
    <xf numFmtId="4" fontId="35" fillId="15" borderId="27" xfId="586" applyNumberFormat="1" applyFont="1" applyFill="1" applyBorder="1">
      <alignment/>
      <protection/>
    </xf>
    <xf numFmtId="4" fontId="35" fillId="15" borderId="24" xfId="586" applyNumberFormat="1" applyFont="1" applyFill="1" applyBorder="1">
      <alignment/>
      <protection/>
    </xf>
    <xf numFmtId="4" fontId="35" fillId="15" borderId="28" xfId="586" applyNumberFormat="1" applyFont="1" applyFill="1" applyBorder="1">
      <alignment/>
      <protection/>
    </xf>
    <xf numFmtId="3" fontId="70" fillId="0" borderId="0" xfId="586" applyNumberFormat="1" applyFont="1" applyFill="1" applyBorder="1">
      <alignment/>
      <protection/>
    </xf>
    <xf numFmtId="4" fontId="76" fillId="0" borderId="0" xfId="586" applyNumberFormat="1" applyFont="1" applyFill="1" applyBorder="1" applyAlignment="1">
      <alignment horizontal="left"/>
      <protection/>
    </xf>
    <xf numFmtId="49" fontId="31" fillId="8" borderId="0" xfId="586" applyNumberFormat="1" applyFont="1" applyFill="1" applyBorder="1" applyAlignment="1">
      <alignment horizontal="right"/>
      <protection/>
    </xf>
    <xf numFmtId="0" fontId="36" fillId="8" borderId="0" xfId="586" applyFont="1" applyFill="1" applyBorder="1">
      <alignment/>
      <protection/>
    </xf>
    <xf numFmtId="0" fontId="31" fillId="8" borderId="0" xfId="586" applyFont="1" applyFill="1" applyBorder="1">
      <alignment/>
      <protection/>
    </xf>
    <xf numFmtId="4" fontId="31" fillId="8" borderId="0" xfId="586" applyNumberFormat="1" applyFont="1" applyFill="1" applyBorder="1" applyAlignment="1">
      <alignment horizontal="right"/>
      <protection/>
    </xf>
    <xf numFmtId="4" fontId="31" fillId="8" borderId="0" xfId="586" applyNumberFormat="1" applyFont="1" applyFill="1" applyBorder="1" applyAlignment="1">
      <alignment horizontal="center"/>
      <protection/>
    </xf>
    <xf numFmtId="2" fontId="34" fillId="0" borderId="0" xfId="586" applyNumberFormat="1" applyFont="1" applyFill="1" applyBorder="1">
      <alignment/>
      <protection/>
    </xf>
    <xf numFmtId="3" fontId="31" fillId="0" borderId="0" xfId="586" applyNumberFormat="1" applyFont="1" applyFill="1" applyBorder="1" applyAlignment="1">
      <alignment/>
      <protection/>
    </xf>
    <xf numFmtId="0" fontId="35" fillId="15" borderId="96" xfId="586" applyFont="1" applyFill="1" applyBorder="1">
      <alignment/>
      <protection/>
    </xf>
    <xf numFmtId="0" fontId="34" fillId="15" borderId="97" xfId="586" applyFont="1" applyFill="1" applyBorder="1">
      <alignment/>
      <protection/>
    </xf>
    <xf numFmtId="0" fontId="36" fillId="0" borderId="30" xfId="586" applyFont="1" applyFill="1" applyBorder="1">
      <alignment/>
      <protection/>
    </xf>
    <xf numFmtId="4" fontId="5" fillId="0" borderId="21" xfId="586" applyNumberFormat="1" applyFont="1" applyBorder="1">
      <alignment/>
      <protection/>
    </xf>
    <xf numFmtId="4" fontId="36" fillId="0" borderId="52" xfId="586" applyNumberFormat="1" applyFont="1" applyBorder="1" applyAlignment="1">
      <alignment horizontal="right"/>
      <protection/>
    </xf>
    <xf numFmtId="4" fontId="35" fillId="15" borderId="19" xfId="586" applyNumberFormat="1" applyFont="1" applyFill="1" applyBorder="1">
      <alignment/>
      <protection/>
    </xf>
    <xf numFmtId="4" fontId="35" fillId="15" borderId="18" xfId="586" applyNumberFormat="1" applyFont="1" applyFill="1" applyBorder="1">
      <alignment/>
      <protection/>
    </xf>
    <xf numFmtId="4" fontId="35" fillId="15" borderId="35" xfId="586" applyNumberFormat="1" applyFont="1" applyFill="1" applyBorder="1">
      <alignment/>
      <protection/>
    </xf>
    <xf numFmtId="4" fontId="35" fillId="15" borderId="36" xfId="586" applyNumberFormat="1" applyFont="1" applyFill="1" applyBorder="1">
      <alignment/>
      <protection/>
    </xf>
    <xf numFmtId="4" fontId="35" fillId="15" borderId="37" xfId="586" applyNumberFormat="1" applyFont="1" applyFill="1" applyBorder="1">
      <alignment/>
      <protection/>
    </xf>
    <xf numFmtId="4" fontId="69" fillId="0" borderId="14" xfId="586" applyNumberFormat="1" applyFont="1" applyBorder="1" applyAlignment="1">
      <alignment horizontal="left"/>
      <protection/>
    </xf>
    <xf numFmtId="0" fontId="70" fillId="0" borderId="0" xfId="586" applyFont="1" applyFill="1" applyBorder="1" applyAlignment="1">
      <alignment horizontal="left"/>
      <protection/>
    </xf>
    <xf numFmtId="0" fontId="70" fillId="0" borderId="0" xfId="586" applyFont="1" applyFill="1" applyBorder="1">
      <alignment/>
      <protection/>
    </xf>
    <xf numFmtId="4" fontId="36" fillId="0" borderId="50" xfId="586" applyNumberFormat="1" applyFont="1" applyBorder="1">
      <alignment/>
      <protection/>
    </xf>
    <xf numFmtId="4" fontId="36" fillId="0" borderId="53" xfId="586" applyNumberFormat="1" applyFont="1" applyBorder="1">
      <alignment/>
      <protection/>
    </xf>
    <xf numFmtId="4" fontId="36" fillId="9" borderId="63" xfId="586" applyNumberFormat="1" applyFont="1" applyFill="1" applyBorder="1">
      <alignment/>
      <protection/>
    </xf>
    <xf numFmtId="4" fontId="36" fillId="0" borderId="79" xfId="586" applyNumberFormat="1" applyFont="1" applyBorder="1">
      <alignment/>
      <protection/>
    </xf>
    <xf numFmtId="4" fontId="36" fillId="0" borderId="65" xfId="586" applyNumberFormat="1" applyFont="1" applyBorder="1">
      <alignment/>
      <protection/>
    </xf>
    <xf numFmtId="0" fontId="37" fillId="0" borderId="20" xfId="586" applyFont="1" applyBorder="1">
      <alignment/>
      <protection/>
    </xf>
    <xf numFmtId="4" fontId="37" fillId="0" borderId="0" xfId="586" applyNumberFormat="1" applyFont="1" applyBorder="1" applyAlignment="1">
      <alignment horizontal="right"/>
      <protection/>
    </xf>
    <xf numFmtId="0" fontId="35" fillId="15" borderId="23" xfId="586" applyFont="1" applyFill="1" applyBorder="1">
      <alignment/>
      <protection/>
    </xf>
    <xf numFmtId="0" fontId="35" fillId="15" borderId="24" xfId="586" applyFont="1" applyFill="1" applyBorder="1">
      <alignment/>
      <protection/>
    </xf>
    <xf numFmtId="4" fontId="35" fillId="15" borderId="58" xfId="586" applyNumberFormat="1" applyFont="1" applyFill="1" applyBorder="1">
      <alignment/>
      <protection/>
    </xf>
    <xf numFmtId="4" fontId="35" fillId="15" borderId="59" xfId="586" applyNumberFormat="1" applyFont="1" applyFill="1" applyBorder="1">
      <alignment/>
      <protection/>
    </xf>
    <xf numFmtId="4" fontId="35" fillId="15" borderId="60" xfId="586" applyNumberFormat="1" applyFont="1" applyFill="1" applyBorder="1">
      <alignment/>
      <protection/>
    </xf>
    <xf numFmtId="4" fontId="35" fillId="15" borderId="94" xfId="586" applyNumberFormat="1" applyFont="1" applyFill="1" applyBorder="1">
      <alignment/>
      <protection/>
    </xf>
    <xf numFmtId="4" fontId="35" fillId="15" borderId="95" xfId="586" applyNumberFormat="1" applyFont="1" applyFill="1" applyBorder="1">
      <alignment/>
      <protection/>
    </xf>
    <xf numFmtId="0" fontId="37" fillId="0" borderId="20" xfId="586" applyFont="1" applyFill="1" applyBorder="1">
      <alignment/>
      <protection/>
    </xf>
    <xf numFmtId="4" fontId="37" fillId="4" borderId="42" xfId="586" applyNumberFormat="1" applyFont="1" applyFill="1" applyBorder="1" applyAlignment="1">
      <alignment horizontal="right"/>
      <protection/>
    </xf>
    <xf numFmtId="4" fontId="37" fillId="4" borderId="43" xfId="586" applyNumberFormat="1" applyFont="1" applyFill="1" applyBorder="1" applyAlignment="1">
      <alignment horizontal="right"/>
      <protection/>
    </xf>
    <xf numFmtId="0" fontId="35" fillId="15" borderId="14" xfId="586" applyFont="1" applyFill="1" applyBorder="1">
      <alignment/>
      <protection/>
    </xf>
    <xf numFmtId="0" fontId="36" fillId="0" borderId="18" xfId="586" applyFont="1" applyFill="1" applyBorder="1" applyAlignment="1">
      <alignment horizontal="left"/>
      <protection/>
    </xf>
    <xf numFmtId="3" fontId="5" fillId="0" borderId="0" xfId="586" applyNumberFormat="1" applyFont="1" applyFill="1" applyBorder="1" applyAlignment="1">
      <alignment horizontal="center"/>
      <protection/>
    </xf>
    <xf numFmtId="0" fontId="36" fillId="0" borderId="98" xfId="586" applyFont="1" applyFill="1" applyBorder="1">
      <alignment/>
      <protection/>
    </xf>
    <xf numFmtId="0" fontId="38" fillId="0" borderId="99" xfId="586" applyFont="1" applyFill="1" applyBorder="1">
      <alignment/>
      <protection/>
    </xf>
    <xf numFmtId="0" fontId="36" fillId="0" borderId="99" xfId="586" applyFont="1" applyFill="1" applyBorder="1">
      <alignment/>
      <protection/>
    </xf>
    <xf numFmtId="0" fontId="38" fillId="0" borderId="18" xfId="586" applyFont="1" applyFill="1" applyBorder="1">
      <alignment/>
      <protection/>
    </xf>
    <xf numFmtId="0" fontId="38" fillId="0" borderId="14" xfId="586" applyFont="1" applyFill="1" applyBorder="1">
      <alignment/>
      <protection/>
    </xf>
    <xf numFmtId="0" fontId="37" fillId="0" borderId="29" xfId="586" applyFont="1" applyFill="1" applyBorder="1">
      <alignment/>
      <protection/>
    </xf>
    <xf numFmtId="4" fontId="37" fillId="0" borderId="20" xfId="586" applyNumberFormat="1" applyFont="1" applyBorder="1" applyAlignment="1">
      <alignment horizontal="right"/>
      <protection/>
    </xf>
    <xf numFmtId="4" fontId="37" fillId="0" borderId="51" xfId="586" applyNumberFormat="1" applyFont="1" applyBorder="1" applyAlignment="1">
      <alignment horizontal="right"/>
      <protection/>
    </xf>
    <xf numFmtId="4" fontId="37" fillId="0" borderId="52" xfId="586" applyNumberFormat="1" applyFont="1" applyBorder="1" applyAlignment="1">
      <alignment horizontal="right"/>
      <protection/>
    </xf>
    <xf numFmtId="0" fontId="36" fillId="0" borderId="61" xfId="586" applyFont="1" applyFill="1" applyBorder="1">
      <alignment/>
      <protection/>
    </xf>
    <xf numFmtId="0" fontId="36" fillId="0" borderId="53" xfId="586" applyFont="1" applyBorder="1">
      <alignment/>
      <protection/>
    </xf>
    <xf numFmtId="0" fontId="36" fillId="0" borderId="53" xfId="586" applyFont="1" applyFill="1" applyBorder="1">
      <alignment/>
      <protection/>
    </xf>
    <xf numFmtId="4" fontId="5" fillId="0" borderId="41" xfId="586" applyNumberFormat="1" applyFont="1" applyBorder="1">
      <alignment/>
      <protection/>
    </xf>
    <xf numFmtId="4" fontId="36" fillId="0" borderId="53" xfId="586" applyNumberFormat="1" applyFont="1" applyBorder="1" applyAlignment="1">
      <alignment horizontal="right"/>
      <protection/>
    </xf>
    <xf numFmtId="4" fontId="36" fillId="0" borderId="63" xfId="586" applyNumberFormat="1" applyFont="1" applyBorder="1" applyAlignment="1">
      <alignment horizontal="right"/>
      <protection/>
    </xf>
    <xf numFmtId="4" fontId="36" fillId="0" borderId="65" xfId="586" applyNumberFormat="1" applyFont="1" applyBorder="1" applyAlignment="1">
      <alignment horizontal="right"/>
      <protection/>
    </xf>
    <xf numFmtId="0" fontId="35" fillId="15" borderId="80" xfId="586" applyFont="1" applyFill="1" applyBorder="1">
      <alignment/>
      <protection/>
    </xf>
    <xf numFmtId="0" fontId="35" fillId="15" borderId="81" xfId="586" applyFont="1" applyFill="1" applyBorder="1">
      <alignment/>
      <protection/>
    </xf>
    <xf numFmtId="4" fontId="35" fillId="15" borderId="21" xfId="586" applyNumberFormat="1" applyFont="1" applyFill="1" applyBorder="1">
      <alignment/>
      <protection/>
    </xf>
    <xf numFmtId="4" fontId="35" fillId="15" borderId="0" xfId="586" applyNumberFormat="1" applyFont="1" applyFill="1" applyBorder="1">
      <alignment/>
      <protection/>
    </xf>
    <xf numFmtId="4" fontId="35" fillId="15" borderId="51" xfId="586" applyNumberFormat="1" applyFont="1" applyFill="1" applyBorder="1">
      <alignment/>
      <protection/>
    </xf>
    <xf numFmtId="4" fontId="35" fillId="15" borderId="30" xfId="586" applyNumberFormat="1" applyFont="1" applyFill="1" applyBorder="1">
      <alignment/>
      <protection/>
    </xf>
    <xf numFmtId="4" fontId="35" fillId="15" borderId="52" xfId="586" applyNumberFormat="1" applyFont="1" applyFill="1" applyBorder="1">
      <alignment/>
      <protection/>
    </xf>
    <xf numFmtId="0" fontId="38" fillId="0" borderId="0" xfId="586" applyFont="1" applyFill="1" applyBorder="1">
      <alignment/>
      <protection/>
    </xf>
    <xf numFmtId="0" fontId="31" fillId="4" borderId="42" xfId="586" applyFont="1" applyFill="1" applyBorder="1">
      <alignment/>
      <protection/>
    </xf>
    <xf numFmtId="4" fontId="37" fillId="4" borderId="39" xfId="586" applyNumberFormat="1" applyFont="1" applyFill="1" applyBorder="1" applyAlignment="1">
      <alignment horizontal="right"/>
      <protection/>
    </xf>
    <xf numFmtId="2" fontId="37" fillId="0" borderId="0" xfId="586" applyNumberFormat="1" applyFont="1" applyFill="1" applyBorder="1">
      <alignment/>
      <protection/>
    </xf>
    <xf numFmtId="1" fontId="43" fillId="7" borderId="23" xfId="586" applyNumberFormat="1" applyFont="1" applyFill="1" applyBorder="1" applyAlignment="1">
      <alignment horizontal="center" vertical="center"/>
      <protection/>
    </xf>
    <xf numFmtId="4" fontId="35" fillId="15" borderId="14" xfId="586" applyNumberFormat="1" applyFont="1" applyFill="1" applyBorder="1">
      <alignment/>
      <protection/>
    </xf>
    <xf numFmtId="0" fontId="69" fillId="0" borderId="0" xfId="586" applyFont="1" applyBorder="1" applyAlignment="1">
      <alignment horizontal="left"/>
      <protection/>
    </xf>
    <xf numFmtId="0" fontId="76" fillId="0" borderId="0" xfId="586" applyFont="1" applyFill="1" applyBorder="1">
      <alignment/>
      <protection/>
    </xf>
    <xf numFmtId="3" fontId="67" fillId="0" borderId="0" xfId="586" applyNumberFormat="1" applyFont="1" applyFill="1" applyBorder="1" applyAlignment="1">
      <alignment horizontal="left"/>
      <protection/>
    </xf>
    <xf numFmtId="0" fontId="77" fillId="0" borderId="0" xfId="586" applyFont="1" applyFill="1" applyBorder="1" applyAlignment="1">
      <alignment horizontal="left"/>
      <protection/>
    </xf>
    <xf numFmtId="4" fontId="37" fillId="0" borderId="0" xfId="586" applyNumberFormat="1" applyFont="1" applyBorder="1">
      <alignment/>
      <protection/>
    </xf>
    <xf numFmtId="4" fontId="37" fillId="0" borderId="0" xfId="586" applyNumberFormat="1" applyFont="1" applyBorder="1" applyAlignment="1">
      <alignment horizontal="center"/>
      <protection/>
    </xf>
    <xf numFmtId="4" fontId="35" fillId="15" borderId="23" xfId="586" applyNumberFormat="1" applyFont="1" applyFill="1" applyBorder="1">
      <alignment/>
      <protection/>
    </xf>
    <xf numFmtId="49" fontId="31" fillId="8" borderId="0" xfId="586" applyNumberFormat="1" applyFont="1" applyFill="1" applyBorder="1" applyAlignment="1">
      <alignment/>
      <protection/>
    </xf>
    <xf numFmtId="4" fontId="31" fillId="8" borderId="0" xfId="586" applyNumberFormat="1" applyFont="1" applyFill="1" applyBorder="1" applyAlignment="1">
      <alignment/>
      <protection/>
    </xf>
    <xf numFmtId="4" fontId="5" fillId="0" borderId="0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center"/>
      <protection/>
    </xf>
    <xf numFmtId="0" fontId="37" fillId="0" borderId="34" xfId="586" applyFont="1" applyFill="1" applyBorder="1">
      <alignment/>
      <protection/>
    </xf>
    <xf numFmtId="0" fontId="37" fillId="0" borderId="14" xfId="586" applyFont="1" applyBorder="1">
      <alignment/>
      <protection/>
    </xf>
    <xf numFmtId="0" fontId="37" fillId="0" borderId="14" xfId="586" applyFont="1" applyFill="1" applyBorder="1">
      <alignment/>
      <protection/>
    </xf>
    <xf numFmtId="4" fontId="36" fillId="0" borderId="14" xfId="586" applyNumberFormat="1" applyFont="1" applyBorder="1" applyAlignment="1">
      <alignment horizontal="left"/>
      <protection/>
    </xf>
    <xf numFmtId="0" fontId="37" fillId="0" borderId="38" xfId="586" applyFont="1" applyFill="1" applyBorder="1">
      <alignment/>
      <protection/>
    </xf>
    <xf numFmtId="0" fontId="37" fillId="0" borderId="39" xfId="586" applyFont="1" applyBorder="1">
      <alignment/>
      <protection/>
    </xf>
    <xf numFmtId="4" fontId="36" fillId="0" borderId="41" xfId="586" applyNumberFormat="1" applyFont="1" applyBorder="1" applyAlignment="1">
      <alignment horizontal="left"/>
      <protection/>
    </xf>
    <xf numFmtId="4" fontId="36" fillId="0" borderId="39" xfId="586" applyNumberFormat="1" applyFont="1" applyBorder="1" applyAlignment="1">
      <alignment horizontal="left"/>
      <protection/>
    </xf>
    <xf numFmtId="4" fontId="36" fillId="9" borderId="43" xfId="586" applyNumberFormat="1" applyFont="1" applyFill="1" applyBorder="1" applyAlignment="1">
      <alignment horizontal="left"/>
      <protection/>
    </xf>
    <xf numFmtId="4" fontId="36" fillId="0" borderId="40" xfId="586" applyNumberFormat="1" applyFont="1" applyBorder="1" applyAlignment="1">
      <alignment horizontal="left"/>
      <protection/>
    </xf>
    <xf numFmtId="4" fontId="36" fillId="0" borderId="44" xfId="586" applyNumberFormat="1" applyFont="1" applyBorder="1" applyAlignment="1">
      <alignment horizontal="left"/>
      <protection/>
    </xf>
    <xf numFmtId="4" fontId="37" fillId="15" borderId="58" xfId="586" applyNumberFormat="1" applyFont="1" applyFill="1" applyBorder="1" applyAlignment="1">
      <alignment horizontal="right"/>
      <protection/>
    </xf>
    <xf numFmtId="4" fontId="37" fillId="15" borderId="87" xfId="586" applyNumberFormat="1" applyFont="1" applyFill="1" applyBorder="1" applyAlignment="1">
      <alignment horizontal="right"/>
      <protection/>
    </xf>
    <xf numFmtId="4" fontId="37" fillId="15" borderId="60" xfId="586" applyNumberFormat="1" applyFont="1" applyFill="1" applyBorder="1" applyAlignment="1">
      <alignment horizontal="right"/>
      <protection/>
    </xf>
    <xf numFmtId="4" fontId="37" fillId="15" borderId="94" xfId="586" applyNumberFormat="1" applyFont="1" applyFill="1" applyBorder="1" applyAlignment="1">
      <alignment horizontal="right"/>
      <protection/>
    </xf>
    <xf numFmtId="4" fontId="37" fillId="15" borderId="95" xfId="586" applyNumberFormat="1" applyFont="1" applyFill="1" applyBorder="1" applyAlignment="1">
      <alignment horizontal="right"/>
      <protection/>
    </xf>
    <xf numFmtId="0" fontId="37" fillId="0" borderId="34" xfId="586" applyFont="1" applyBorder="1">
      <alignment/>
      <protection/>
    </xf>
    <xf numFmtId="0" fontId="37" fillId="0" borderId="14" xfId="586" applyFont="1" applyFill="1" applyBorder="1" applyAlignment="1">
      <alignment vertical="top"/>
      <protection/>
    </xf>
    <xf numFmtId="0" fontId="37" fillId="0" borderId="14" xfId="586" applyFont="1" applyFill="1" applyBorder="1" applyAlignment="1">
      <alignment horizontal="left"/>
      <protection/>
    </xf>
    <xf numFmtId="0" fontId="37" fillId="0" borderId="34" xfId="586" applyFont="1" applyFill="1" applyBorder="1" applyAlignment="1">
      <alignment horizontal="right"/>
      <protection/>
    </xf>
    <xf numFmtId="0" fontId="38" fillId="0" borderId="14" xfId="586" applyFont="1" applyFill="1" applyBorder="1" applyAlignment="1">
      <alignment vertical="top"/>
      <protection/>
    </xf>
    <xf numFmtId="0" fontId="38" fillId="0" borderId="14" xfId="586" applyFont="1" applyFill="1" applyBorder="1" applyAlignment="1">
      <alignment horizontal="left"/>
      <protection/>
    </xf>
    <xf numFmtId="4" fontId="38" fillId="0" borderId="14" xfId="586" applyNumberFormat="1" applyFont="1" applyBorder="1" applyAlignment="1">
      <alignment horizontal="left"/>
      <protection/>
    </xf>
    <xf numFmtId="4" fontId="38" fillId="9" borderId="31" xfId="586" applyNumberFormat="1" applyFont="1" applyFill="1" applyBorder="1" applyAlignment="1">
      <alignment horizontal="left"/>
      <protection/>
    </xf>
    <xf numFmtId="4" fontId="38" fillId="0" borderId="32" xfId="586" applyNumberFormat="1" applyFont="1" applyBorder="1" applyAlignment="1">
      <alignment horizontal="left"/>
      <protection/>
    </xf>
    <xf numFmtId="4" fontId="38" fillId="0" borderId="33" xfId="586" applyNumberFormat="1" applyFont="1" applyBorder="1" applyAlignment="1">
      <alignment horizontal="left"/>
      <protection/>
    </xf>
    <xf numFmtId="0" fontId="36" fillId="0" borderId="61" xfId="586" applyFont="1" applyBorder="1">
      <alignment/>
      <protection/>
    </xf>
    <xf numFmtId="0" fontId="36" fillId="0" borderId="20" xfId="586" applyFont="1" applyBorder="1">
      <alignment/>
      <protection/>
    </xf>
    <xf numFmtId="4" fontId="36" fillId="0" borderId="51" xfId="586" applyNumberFormat="1" applyFont="1" applyBorder="1">
      <alignment/>
      <protection/>
    </xf>
    <xf numFmtId="0" fontId="37" fillId="0" borderId="32" xfId="586" applyFont="1" applyFill="1" applyBorder="1">
      <alignment/>
      <protection/>
    </xf>
    <xf numFmtId="4" fontId="36" fillId="0" borderId="19" xfId="586" applyNumberFormat="1" applyFont="1" applyBorder="1" applyAlignment="1">
      <alignment horizontal="left"/>
      <protection/>
    </xf>
    <xf numFmtId="4" fontId="36" fillId="0" borderId="42" xfId="586" applyNumberFormat="1" applyFont="1" applyBorder="1" applyAlignment="1">
      <alignment horizontal="left"/>
      <protection/>
    </xf>
    <xf numFmtId="4" fontId="36" fillId="0" borderId="0" xfId="586" applyNumberFormat="1" applyFont="1" applyBorder="1">
      <alignment/>
      <protection/>
    </xf>
    <xf numFmtId="4" fontId="36" fillId="0" borderId="100" xfId="586" applyNumberFormat="1" applyFont="1" applyBorder="1">
      <alignment/>
      <protection/>
    </xf>
    <xf numFmtId="0" fontId="36" fillId="0" borderId="34" xfId="586" applyFont="1" applyFill="1" applyBorder="1" applyAlignment="1">
      <alignment horizontal="left"/>
      <protection/>
    </xf>
    <xf numFmtId="0" fontId="36" fillId="0" borderId="14" xfId="586" applyFont="1" applyFill="1" applyBorder="1" applyAlignment="1">
      <alignment horizontal="right"/>
      <protection/>
    </xf>
    <xf numFmtId="0" fontId="36" fillId="0" borderId="34" xfId="586" applyFont="1" applyFill="1" applyBorder="1" applyAlignment="1">
      <alignment horizontal="right"/>
      <protection/>
    </xf>
    <xf numFmtId="0" fontId="67" fillId="0" borderId="14" xfId="586" applyFont="1" applyFill="1" applyBorder="1" applyAlignment="1">
      <alignment horizontal="left"/>
      <protection/>
    </xf>
    <xf numFmtId="4" fontId="67" fillId="0" borderId="15" xfId="586" applyNumberFormat="1" applyFont="1" applyFill="1" applyBorder="1">
      <alignment/>
      <protection/>
    </xf>
    <xf numFmtId="4" fontId="67" fillId="0" borderId="14" xfId="586" applyNumberFormat="1" applyFont="1" applyFill="1" applyBorder="1">
      <alignment/>
      <protection/>
    </xf>
    <xf numFmtId="4" fontId="67" fillId="9" borderId="31" xfId="586" applyNumberFormat="1" applyFont="1" applyFill="1" applyBorder="1">
      <alignment/>
      <protection/>
    </xf>
    <xf numFmtId="4" fontId="67" fillId="0" borderId="32" xfId="586" applyNumberFormat="1" applyFont="1" applyFill="1" applyBorder="1">
      <alignment/>
      <protection/>
    </xf>
    <xf numFmtId="4" fontId="67" fillId="0" borderId="33" xfId="586" applyNumberFormat="1" applyFont="1" applyFill="1" applyBorder="1">
      <alignment/>
      <protection/>
    </xf>
    <xf numFmtId="4" fontId="67" fillId="0" borderId="15" xfId="586" applyNumberFormat="1" applyFont="1" applyBorder="1" applyAlignment="1">
      <alignment horizontal="right"/>
      <protection/>
    </xf>
    <xf numFmtId="4" fontId="67" fillId="0" borderId="14" xfId="586" applyNumberFormat="1" applyFont="1" applyBorder="1" applyAlignment="1">
      <alignment horizontal="right"/>
      <protection/>
    </xf>
    <xf numFmtId="4" fontId="67" fillId="9" borderId="31" xfId="586" applyNumberFormat="1" applyFont="1" applyFill="1" applyBorder="1" applyAlignment="1">
      <alignment horizontal="right"/>
      <protection/>
    </xf>
    <xf numFmtId="4" fontId="67" fillId="0" borderId="32" xfId="586" applyNumberFormat="1" applyFont="1" applyBorder="1" applyAlignment="1">
      <alignment horizontal="right"/>
      <protection/>
    </xf>
    <xf numFmtId="4" fontId="67" fillId="0" borderId="33" xfId="586" applyNumberFormat="1" applyFont="1" applyBorder="1" applyAlignment="1">
      <alignment horizontal="right"/>
      <protection/>
    </xf>
    <xf numFmtId="0" fontId="36" fillId="0" borderId="38" xfId="586" applyFont="1" applyFill="1" applyBorder="1" applyAlignment="1">
      <alignment horizontal="left"/>
      <protection/>
    </xf>
    <xf numFmtId="0" fontId="36" fillId="0" borderId="39" xfId="586" applyFont="1" applyFill="1" applyBorder="1" applyAlignment="1">
      <alignment horizontal="right"/>
      <protection/>
    </xf>
    <xf numFmtId="0" fontId="36" fillId="0" borderId="39" xfId="586" applyFont="1" applyFill="1" applyBorder="1" applyAlignment="1">
      <alignment horizontal="left"/>
      <protection/>
    </xf>
    <xf numFmtId="0" fontId="36" fillId="0" borderId="20" xfId="586" applyFont="1" applyFill="1" applyBorder="1" applyAlignment="1">
      <alignment horizontal="left"/>
      <protection/>
    </xf>
    <xf numFmtId="0" fontId="37" fillId="0" borderId="0" xfId="586" applyFont="1" applyFill="1" applyBorder="1" applyAlignment="1">
      <alignment horizontal="left"/>
      <protection/>
    </xf>
    <xf numFmtId="4" fontId="35" fillId="15" borderId="87" xfId="586" applyNumberFormat="1" applyFont="1" applyFill="1" applyBorder="1">
      <alignment/>
      <protection/>
    </xf>
    <xf numFmtId="4" fontId="69" fillId="0" borderId="15" xfId="586" applyNumberFormat="1" applyFont="1" applyBorder="1">
      <alignment/>
      <protection/>
    </xf>
    <xf numFmtId="4" fontId="69" fillId="0" borderId="14" xfId="586" applyNumberFormat="1" applyFont="1" applyBorder="1">
      <alignment/>
      <protection/>
    </xf>
    <xf numFmtId="4" fontId="69" fillId="9" borderId="31" xfId="586" applyNumberFormat="1" applyFont="1" applyFill="1" applyBorder="1">
      <alignment/>
      <protection/>
    </xf>
    <xf numFmtId="4" fontId="69" fillId="0" borderId="32" xfId="586" applyNumberFormat="1" applyFont="1" applyBorder="1">
      <alignment/>
      <protection/>
    </xf>
    <xf numFmtId="4" fontId="69" fillId="0" borderId="33" xfId="586" applyNumberFormat="1" applyFont="1" applyBorder="1">
      <alignment/>
      <protection/>
    </xf>
    <xf numFmtId="0" fontId="77" fillId="0" borderId="0" xfId="586" applyFont="1" applyBorder="1">
      <alignment/>
      <protection/>
    </xf>
    <xf numFmtId="0" fontId="38" fillId="0" borderId="34" xfId="586" applyFont="1" applyFill="1" applyBorder="1" applyAlignment="1">
      <alignment horizontal="left"/>
      <protection/>
    </xf>
    <xf numFmtId="4" fontId="67" fillId="0" borderId="15" xfId="586" applyNumberFormat="1" applyFont="1" applyBorder="1" applyAlignment="1">
      <alignment horizontal="left"/>
      <protection/>
    </xf>
    <xf numFmtId="4" fontId="67" fillId="0" borderId="14" xfId="586" applyNumberFormat="1" applyFont="1" applyBorder="1" applyAlignment="1">
      <alignment horizontal="left"/>
      <protection/>
    </xf>
    <xf numFmtId="4" fontId="67" fillId="9" borderId="31" xfId="586" applyNumberFormat="1" applyFont="1" applyFill="1" applyBorder="1" applyAlignment="1">
      <alignment horizontal="left"/>
      <protection/>
    </xf>
    <xf numFmtId="4" fontId="67" fillId="0" borderId="32" xfId="586" applyNumberFormat="1" applyFont="1" applyBorder="1" applyAlignment="1">
      <alignment horizontal="left"/>
      <protection/>
    </xf>
    <xf numFmtId="4" fontId="67" fillId="0" borderId="33" xfId="586" applyNumberFormat="1" applyFont="1" applyBorder="1" applyAlignment="1">
      <alignment horizontal="left"/>
      <protection/>
    </xf>
    <xf numFmtId="0" fontId="69" fillId="0" borderId="0" xfId="586" applyFont="1" applyFill="1" applyBorder="1" applyAlignment="1">
      <alignment horizontal="right"/>
      <protection/>
    </xf>
    <xf numFmtId="4" fontId="67" fillId="9" borderId="35" xfId="586" applyNumberFormat="1" applyFont="1" applyFill="1" applyBorder="1" applyAlignment="1">
      <alignment horizontal="left"/>
      <protection/>
    </xf>
    <xf numFmtId="4" fontId="67" fillId="0" borderId="36" xfId="586" applyNumberFormat="1" applyFont="1" applyFill="1" applyBorder="1" applyAlignment="1">
      <alignment horizontal="left"/>
      <protection/>
    </xf>
    <xf numFmtId="4" fontId="67" fillId="0" borderId="37" xfId="586" applyNumberFormat="1" applyFont="1" applyFill="1" applyBorder="1" applyAlignment="1">
      <alignment horizontal="left"/>
      <protection/>
    </xf>
    <xf numFmtId="0" fontId="69" fillId="0" borderId="38" xfId="586" applyFont="1" applyFill="1" applyBorder="1">
      <alignment/>
      <protection/>
    </xf>
    <xf numFmtId="0" fontId="69" fillId="0" borderId="39" xfId="586" applyFont="1" applyFill="1" applyBorder="1">
      <alignment/>
      <protection/>
    </xf>
    <xf numFmtId="4" fontId="67" fillId="0" borderId="41" xfId="586" applyNumberFormat="1" applyFont="1" applyBorder="1" applyAlignment="1">
      <alignment horizontal="left"/>
      <protection/>
    </xf>
    <xf numFmtId="4" fontId="67" fillId="0" borderId="39" xfId="586" applyNumberFormat="1" applyFont="1" applyFill="1" applyBorder="1" applyAlignment="1">
      <alignment horizontal="left"/>
      <protection/>
    </xf>
    <xf numFmtId="4" fontId="67" fillId="9" borderId="43" xfId="586" applyNumberFormat="1" applyFont="1" applyFill="1" applyBorder="1" applyAlignment="1">
      <alignment horizontal="left"/>
      <protection/>
    </xf>
    <xf numFmtId="4" fontId="67" fillId="0" borderId="40" xfId="586" applyNumberFormat="1" applyFont="1" applyFill="1" applyBorder="1" applyAlignment="1">
      <alignment horizontal="left"/>
      <protection/>
    </xf>
    <xf numFmtId="4" fontId="67" fillId="0" borderId="44" xfId="586" applyNumberFormat="1" applyFont="1" applyFill="1" applyBorder="1" applyAlignment="1">
      <alignment horizontal="left"/>
      <protection/>
    </xf>
    <xf numFmtId="3" fontId="36" fillId="0" borderId="14" xfId="586" applyNumberFormat="1" applyFont="1" applyBorder="1">
      <alignment/>
      <protection/>
    </xf>
    <xf numFmtId="4" fontId="36" fillId="0" borderId="16" xfId="586" applyNumberFormat="1" applyFont="1" applyBorder="1" applyAlignment="1">
      <alignment horizontal="left"/>
      <protection/>
    </xf>
    <xf numFmtId="4" fontId="36" fillId="0" borderId="81" xfId="586" applyNumberFormat="1" applyFont="1" applyBorder="1" applyAlignment="1">
      <alignment horizontal="left"/>
      <protection/>
    </xf>
    <xf numFmtId="4" fontId="36" fillId="9" borderId="47" xfId="586" applyNumberFormat="1" applyFont="1" applyFill="1" applyBorder="1" applyAlignment="1">
      <alignment horizontal="left"/>
      <protection/>
    </xf>
    <xf numFmtId="4" fontId="36" fillId="0" borderId="48" xfId="586" applyNumberFormat="1" applyFont="1" applyBorder="1" applyAlignment="1">
      <alignment horizontal="left"/>
      <protection/>
    </xf>
    <xf numFmtId="4" fontId="36" fillId="0" borderId="49" xfId="586" applyNumberFormat="1" applyFont="1" applyBorder="1" applyAlignment="1">
      <alignment horizontal="left"/>
      <protection/>
    </xf>
    <xf numFmtId="4" fontId="35" fillId="4" borderId="53" xfId="586" applyNumberFormat="1" applyFont="1" applyFill="1" applyBorder="1">
      <alignment/>
      <protection/>
    </xf>
    <xf numFmtId="4" fontId="35" fillId="15" borderId="68" xfId="586" applyNumberFormat="1" applyFont="1" applyFill="1" applyBorder="1">
      <alignment/>
      <protection/>
    </xf>
    <xf numFmtId="4" fontId="37" fillId="0" borderId="15" xfId="586" applyNumberFormat="1" applyFont="1" applyBorder="1">
      <alignment/>
      <protection/>
    </xf>
    <xf numFmtId="4" fontId="37" fillId="0" borderId="14" xfId="586" applyNumberFormat="1" applyFont="1" applyBorder="1">
      <alignment/>
      <protection/>
    </xf>
    <xf numFmtId="4" fontId="37" fillId="0" borderId="32" xfId="586" applyNumberFormat="1" applyFont="1" applyBorder="1">
      <alignment/>
      <protection/>
    </xf>
    <xf numFmtId="4" fontId="37" fillId="0" borderId="33" xfId="586" applyNumberFormat="1" applyFont="1" applyBorder="1">
      <alignment/>
      <protection/>
    </xf>
    <xf numFmtId="4" fontId="33" fillId="0" borderId="0" xfId="586" applyNumberFormat="1" applyFont="1" applyFill="1" applyBorder="1">
      <alignment/>
      <protection/>
    </xf>
    <xf numFmtId="4" fontId="37" fillId="0" borderId="15" xfId="586" applyNumberFormat="1" applyFont="1" applyFill="1" applyBorder="1" applyAlignment="1">
      <alignment horizontal="right"/>
      <protection/>
    </xf>
    <xf numFmtId="4" fontId="37" fillId="0" borderId="14" xfId="586" applyNumberFormat="1" applyFont="1" applyFill="1" applyBorder="1" applyAlignment="1">
      <alignment horizontal="right"/>
      <protection/>
    </xf>
    <xf numFmtId="49" fontId="36" fillId="0" borderId="34" xfId="586" applyNumberFormat="1" applyFont="1" applyFill="1" applyBorder="1" applyAlignment="1">
      <alignment horizontal="left"/>
      <protection/>
    </xf>
    <xf numFmtId="0" fontId="38" fillId="0" borderId="34" xfId="586" applyFont="1" applyFill="1" applyBorder="1">
      <alignment/>
      <protection/>
    </xf>
    <xf numFmtId="0" fontId="34" fillId="0" borderId="14" xfId="586" applyFont="1" applyFill="1" applyBorder="1" applyAlignment="1">
      <alignment vertical="top"/>
      <protection/>
    </xf>
    <xf numFmtId="3" fontId="36" fillId="0" borderId="0" xfId="586" applyNumberFormat="1" applyFont="1" applyFill="1" applyBorder="1" applyAlignment="1">
      <alignment horizontal="right" vertical="center"/>
      <protection/>
    </xf>
    <xf numFmtId="3" fontId="36" fillId="0" borderId="0" xfId="586" applyNumberFormat="1" applyFont="1" applyFill="1" applyBorder="1" applyAlignment="1">
      <alignment horizontal="left" vertical="center"/>
      <protection/>
    </xf>
    <xf numFmtId="3" fontId="38" fillId="0" borderId="0" xfId="586" applyNumberFormat="1" applyFont="1" applyFill="1" applyBorder="1" applyAlignment="1">
      <alignment horizontal="left"/>
      <protection/>
    </xf>
    <xf numFmtId="3" fontId="38" fillId="0" borderId="0" xfId="586" applyNumberFormat="1" applyFont="1" applyFill="1" applyBorder="1" applyAlignment="1">
      <alignment horizontal="right"/>
      <protection/>
    </xf>
    <xf numFmtId="0" fontId="69" fillId="8" borderId="34" xfId="586" applyFont="1" applyFill="1" applyBorder="1">
      <alignment/>
      <protection/>
    </xf>
    <xf numFmtId="0" fontId="69" fillId="8" borderId="14" xfId="586" applyFont="1" applyFill="1" applyBorder="1">
      <alignment/>
      <protection/>
    </xf>
    <xf numFmtId="4" fontId="78" fillId="0" borderId="15" xfId="586" applyNumberFormat="1" applyFont="1" applyBorder="1" applyAlignment="1">
      <alignment horizontal="left"/>
      <protection/>
    </xf>
    <xf numFmtId="4" fontId="78" fillId="0" borderId="14" xfId="586" applyNumberFormat="1" applyFont="1" applyBorder="1" applyAlignment="1">
      <alignment horizontal="left"/>
      <protection/>
    </xf>
    <xf numFmtId="4" fontId="78" fillId="9" borderId="31" xfId="586" applyNumberFormat="1" applyFont="1" applyFill="1" applyBorder="1" applyAlignment="1">
      <alignment horizontal="left"/>
      <protection/>
    </xf>
    <xf numFmtId="4" fontId="78" fillId="0" borderId="32" xfId="586" applyNumberFormat="1" applyFont="1" applyBorder="1" applyAlignment="1">
      <alignment horizontal="left"/>
      <protection/>
    </xf>
    <xf numFmtId="4" fontId="78" fillId="0" borderId="33" xfId="586" applyNumberFormat="1" applyFont="1" applyBorder="1" applyAlignment="1">
      <alignment horizontal="left"/>
      <protection/>
    </xf>
    <xf numFmtId="4" fontId="79" fillId="0" borderId="0" xfId="586" applyNumberFormat="1" applyFont="1" applyFill="1" applyBorder="1" applyAlignment="1">
      <alignment horizontal="right"/>
      <protection/>
    </xf>
    <xf numFmtId="3" fontId="78" fillId="0" borderId="0" xfId="586" applyNumberFormat="1" applyFont="1" applyFill="1" applyBorder="1" applyAlignment="1">
      <alignment horizontal="left"/>
      <protection/>
    </xf>
    <xf numFmtId="3" fontId="67" fillId="0" borderId="0" xfId="586" applyNumberFormat="1" applyFont="1" applyFill="1" applyBorder="1" applyAlignment="1">
      <alignment horizontal="right"/>
      <protection/>
    </xf>
    <xf numFmtId="0" fontId="78" fillId="0" borderId="0" xfId="586" applyFont="1" applyFill="1" applyBorder="1" applyAlignment="1">
      <alignment horizontal="left"/>
      <protection/>
    </xf>
    <xf numFmtId="0" fontId="67" fillId="0" borderId="0" xfId="586" applyFont="1" applyFill="1" applyBorder="1">
      <alignment/>
      <protection/>
    </xf>
    <xf numFmtId="0" fontId="5" fillId="8" borderId="0" xfId="586" applyFont="1" applyFill="1" applyBorder="1">
      <alignment/>
      <protection/>
    </xf>
    <xf numFmtId="49" fontId="31" fillId="4" borderId="80" xfId="586" applyNumberFormat="1" applyFont="1" applyFill="1" applyBorder="1" applyAlignment="1">
      <alignment horizontal="right"/>
      <protection/>
    </xf>
    <xf numFmtId="0" fontId="36" fillId="4" borderId="48" xfId="586" applyFont="1" applyFill="1" applyBorder="1">
      <alignment/>
      <protection/>
    </xf>
    <xf numFmtId="0" fontId="31" fillId="4" borderId="16" xfId="586" applyFont="1" applyFill="1" applyBorder="1">
      <alignment/>
      <protection/>
    </xf>
    <xf numFmtId="4" fontId="35" fillId="4" borderId="30" xfId="586" applyNumberFormat="1" applyFont="1" applyFill="1" applyBorder="1">
      <alignment/>
      <protection/>
    </xf>
    <xf numFmtId="4" fontId="35" fillId="4" borderId="0" xfId="586" applyNumberFormat="1" applyFont="1" applyFill="1" applyBorder="1">
      <alignment/>
      <protection/>
    </xf>
    <xf numFmtId="4" fontId="35" fillId="4" borderId="51" xfId="586" applyNumberFormat="1" applyFont="1" applyFill="1" applyBorder="1">
      <alignment/>
      <protection/>
    </xf>
    <xf numFmtId="4" fontId="35" fillId="3" borderId="56" xfId="586" applyNumberFormat="1" applyFont="1" applyFill="1" applyBorder="1">
      <alignment/>
      <protection/>
    </xf>
    <xf numFmtId="4" fontId="37" fillId="3" borderId="54" xfId="586" applyNumberFormat="1" applyFont="1" applyFill="1" applyBorder="1" applyAlignment="1">
      <alignment horizontal="right"/>
      <protection/>
    </xf>
    <xf numFmtId="4" fontId="31" fillId="8" borderId="0" xfId="586" applyNumberFormat="1" applyFont="1" applyFill="1" applyBorder="1">
      <alignment/>
      <protection/>
    </xf>
    <xf numFmtId="0" fontId="80" fillId="7" borderId="24" xfId="586" applyFont="1" applyFill="1" applyBorder="1" applyAlignment="1">
      <alignment horizontal="center"/>
      <protection/>
    </xf>
    <xf numFmtId="0" fontId="35" fillId="4" borderId="34" xfId="586" applyFont="1" applyFill="1" applyBorder="1">
      <alignment/>
      <protection/>
    </xf>
    <xf numFmtId="0" fontId="35" fillId="4" borderId="14" xfId="586" applyFont="1" applyFill="1" applyBorder="1">
      <alignment/>
      <protection/>
    </xf>
    <xf numFmtId="0" fontId="35" fillId="4" borderId="32" xfId="586" applyFont="1" applyFill="1" applyBorder="1">
      <alignment/>
      <protection/>
    </xf>
    <xf numFmtId="4" fontId="37" fillId="4" borderId="36" xfId="586" applyNumberFormat="1" applyFont="1" applyFill="1" applyBorder="1">
      <alignment/>
      <protection/>
    </xf>
    <xf numFmtId="4" fontId="37" fillId="4" borderId="18" xfId="586" applyNumberFormat="1" applyFont="1" applyFill="1" applyBorder="1">
      <alignment/>
      <protection/>
    </xf>
    <xf numFmtId="4" fontId="37" fillId="4" borderId="35" xfId="586" applyNumberFormat="1" applyFont="1" applyFill="1" applyBorder="1">
      <alignment/>
      <protection/>
    </xf>
    <xf numFmtId="4" fontId="37" fillId="4" borderId="68" xfId="586" applyNumberFormat="1" applyFont="1" applyFill="1" applyBorder="1">
      <alignment/>
      <protection/>
    </xf>
    <xf numFmtId="0" fontId="36" fillId="0" borderId="20" xfId="586" applyFont="1" applyFill="1" applyBorder="1">
      <alignment/>
      <protection/>
    </xf>
    <xf numFmtId="176" fontId="35" fillId="4" borderId="22" xfId="586" applyNumberFormat="1" applyFont="1" applyFill="1" applyBorder="1">
      <alignment/>
      <protection/>
    </xf>
    <xf numFmtId="0" fontId="35" fillId="4" borderId="23" xfId="586" applyFont="1" applyFill="1" applyBorder="1">
      <alignment/>
      <protection/>
    </xf>
    <xf numFmtId="0" fontId="35" fillId="4" borderId="24" xfId="586" applyFont="1" applyFill="1" applyBorder="1">
      <alignment/>
      <protection/>
    </xf>
    <xf numFmtId="4" fontId="37" fillId="4" borderId="94" xfId="586" applyNumberFormat="1" applyFont="1" applyFill="1" applyBorder="1">
      <alignment/>
      <protection/>
    </xf>
    <xf numFmtId="4" fontId="37" fillId="4" borderId="87" xfId="586" applyNumberFormat="1" applyFont="1" applyFill="1" applyBorder="1">
      <alignment/>
      <protection/>
    </xf>
    <xf numFmtId="4" fontId="37" fillId="4" borderId="60" xfId="586" applyNumberFormat="1" applyFont="1" applyFill="1" applyBorder="1">
      <alignment/>
      <protection/>
    </xf>
    <xf numFmtId="4" fontId="37" fillId="4" borderId="85" xfId="586" applyNumberFormat="1" applyFont="1" applyFill="1" applyBorder="1">
      <alignment/>
      <protection/>
    </xf>
    <xf numFmtId="0" fontId="67" fillId="0" borderId="38" xfId="586" applyFont="1" applyFill="1" applyBorder="1">
      <alignment/>
      <protection/>
    </xf>
    <xf numFmtId="0" fontId="67" fillId="0" borderId="39" xfId="586" applyFont="1" applyFill="1" applyBorder="1">
      <alignment/>
      <protection/>
    </xf>
    <xf numFmtId="0" fontId="67" fillId="0" borderId="40" xfId="586" applyFont="1" applyFill="1" applyBorder="1">
      <alignment/>
      <protection/>
    </xf>
    <xf numFmtId="4" fontId="67" fillId="0" borderId="42" xfId="586" applyNumberFormat="1" applyFont="1" applyBorder="1" applyAlignment="1">
      <alignment horizontal="left"/>
      <protection/>
    </xf>
    <xf numFmtId="4" fontId="67" fillId="0" borderId="40" xfId="586" applyNumberFormat="1" applyFont="1" applyBorder="1" applyAlignment="1">
      <alignment horizontal="left"/>
      <protection/>
    </xf>
    <xf numFmtId="4" fontId="67" fillId="0" borderId="44" xfId="586" applyNumberFormat="1" applyFont="1" applyBorder="1" applyAlignment="1">
      <alignment horizontal="left"/>
      <protection/>
    </xf>
    <xf numFmtId="4" fontId="5" fillId="0" borderId="30" xfId="586" applyNumberFormat="1" applyFont="1" applyBorder="1">
      <alignment/>
      <protection/>
    </xf>
    <xf numFmtId="4" fontId="37" fillId="4" borderId="58" xfId="586" applyNumberFormat="1" applyFont="1" applyFill="1" applyBorder="1">
      <alignment/>
      <protection/>
    </xf>
    <xf numFmtId="4" fontId="37" fillId="4" borderId="59" xfId="586" applyNumberFormat="1" applyFont="1" applyFill="1" applyBorder="1">
      <alignment/>
      <protection/>
    </xf>
    <xf numFmtId="4" fontId="37" fillId="4" borderId="95" xfId="586" applyNumberFormat="1" applyFont="1" applyFill="1" applyBorder="1">
      <alignment/>
      <protection/>
    </xf>
    <xf numFmtId="0" fontId="37" fillId="4" borderId="88" xfId="586" applyFont="1" applyFill="1" applyBorder="1">
      <alignment/>
      <protection/>
    </xf>
    <xf numFmtId="0" fontId="37" fillId="4" borderId="87" xfId="586" applyFont="1" applyFill="1" applyBorder="1">
      <alignment/>
      <protection/>
    </xf>
    <xf numFmtId="0" fontId="37" fillId="4" borderId="94" xfId="586" applyFont="1" applyFill="1" applyBorder="1">
      <alignment/>
      <protection/>
    </xf>
    <xf numFmtId="4" fontId="5" fillId="0" borderId="42" xfId="586" applyNumberFormat="1" applyFont="1" applyBorder="1">
      <alignment/>
      <protection/>
    </xf>
    <xf numFmtId="4" fontId="5" fillId="9" borderId="43" xfId="586" applyNumberFormat="1" applyFont="1" applyFill="1" applyBorder="1">
      <alignment/>
      <protection/>
    </xf>
    <xf numFmtId="4" fontId="5" fillId="0" borderId="40" xfId="586" applyNumberFormat="1" applyFont="1" applyBorder="1">
      <alignment/>
      <protection/>
    </xf>
    <xf numFmtId="4" fontId="5" fillId="0" borderId="44" xfId="586" applyNumberFormat="1" applyFont="1" applyBorder="1">
      <alignment/>
      <protection/>
    </xf>
    <xf numFmtId="0" fontId="35" fillId="4" borderId="22" xfId="586" applyFont="1" applyFill="1" applyBorder="1">
      <alignment/>
      <protection/>
    </xf>
    <xf numFmtId="4" fontId="37" fillId="4" borderId="25" xfId="586" applyNumberFormat="1" applyFont="1" applyFill="1" applyBorder="1">
      <alignment/>
      <protection/>
    </xf>
    <xf numFmtId="4" fontId="37" fillId="4" borderId="26" xfId="586" applyNumberFormat="1" applyFont="1" applyFill="1" applyBorder="1">
      <alignment/>
      <protection/>
    </xf>
    <xf numFmtId="4" fontId="37" fillId="4" borderId="27" xfId="586" applyNumberFormat="1" applyFont="1" applyFill="1" applyBorder="1">
      <alignment/>
      <protection/>
    </xf>
    <xf numFmtId="4" fontId="37" fillId="4" borderId="24" xfId="586" applyNumberFormat="1" applyFont="1" applyFill="1" applyBorder="1">
      <alignment/>
      <protection/>
    </xf>
    <xf numFmtId="4" fontId="37" fillId="4" borderId="28" xfId="586" applyNumberFormat="1" applyFont="1" applyFill="1" applyBorder="1">
      <alignment/>
      <protection/>
    </xf>
    <xf numFmtId="0" fontId="35" fillId="0" borderId="0" xfId="586" applyFont="1" applyBorder="1">
      <alignment/>
      <protection/>
    </xf>
    <xf numFmtId="0" fontId="67" fillId="0" borderId="34" xfId="586" applyFont="1" applyBorder="1">
      <alignment/>
      <protection/>
    </xf>
    <xf numFmtId="0" fontId="67" fillId="0" borderId="14" xfId="586" applyFont="1" applyBorder="1">
      <alignment/>
      <protection/>
    </xf>
    <xf numFmtId="0" fontId="67" fillId="0" borderId="32" xfId="586" applyFont="1" applyBorder="1">
      <alignment/>
      <protection/>
    </xf>
    <xf numFmtId="4" fontId="38" fillId="0" borderId="16" xfId="586" applyNumberFormat="1" applyFont="1" applyBorder="1">
      <alignment/>
      <protection/>
    </xf>
    <xf numFmtId="4" fontId="38" fillId="0" borderId="46" xfId="586" applyNumberFormat="1" applyFont="1" applyBorder="1">
      <alignment/>
      <protection/>
    </xf>
    <xf numFmtId="4" fontId="38" fillId="9" borderId="47" xfId="586" applyNumberFormat="1" applyFont="1" applyFill="1" applyBorder="1">
      <alignment/>
      <protection/>
    </xf>
    <xf numFmtId="4" fontId="38" fillId="0" borderId="48" xfId="586" applyNumberFormat="1" applyFont="1" applyBorder="1">
      <alignment/>
      <protection/>
    </xf>
    <xf numFmtId="4" fontId="38" fillId="0" borderId="49" xfId="586" applyNumberFormat="1" applyFont="1" applyBorder="1">
      <alignment/>
      <protection/>
    </xf>
    <xf numFmtId="3" fontId="67" fillId="0" borderId="0" xfId="586" applyNumberFormat="1" applyFont="1" applyFill="1" applyBorder="1">
      <alignment/>
      <protection/>
    </xf>
    <xf numFmtId="0" fontId="35" fillId="4" borderId="88" xfId="586" applyFont="1" applyFill="1" applyBorder="1">
      <alignment/>
      <protection/>
    </xf>
    <xf numFmtId="0" fontId="35" fillId="4" borderId="87" xfId="586" applyFont="1" applyFill="1" applyBorder="1">
      <alignment/>
      <protection/>
    </xf>
    <xf numFmtId="0" fontId="35" fillId="4" borderId="94" xfId="586" applyFont="1" applyFill="1" applyBorder="1">
      <alignment/>
      <protection/>
    </xf>
    <xf numFmtId="177" fontId="37" fillId="0" borderId="0" xfId="586" applyNumberFormat="1" applyFont="1" applyFill="1" applyBorder="1">
      <alignment/>
      <protection/>
    </xf>
    <xf numFmtId="178" fontId="37" fillId="0" borderId="0" xfId="586" applyNumberFormat="1" applyFont="1" applyFill="1" applyBorder="1">
      <alignment/>
      <protection/>
    </xf>
    <xf numFmtId="0" fontId="33" fillId="0" borderId="14" xfId="586" applyFont="1" applyBorder="1">
      <alignment/>
      <protection/>
    </xf>
    <xf numFmtId="177" fontId="36" fillId="0" borderId="0" xfId="586" applyNumberFormat="1" applyFont="1" applyFill="1" applyBorder="1" applyAlignment="1">
      <alignment horizontal="left"/>
      <protection/>
    </xf>
    <xf numFmtId="177" fontId="36" fillId="0" borderId="0" xfId="586" applyNumberFormat="1" applyFont="1" applyFill="1" applyBorder="1">
      <alignment/>
      <protection/>
    </xf>
    <xf numFmtId="0" fontId="67" fillId="0" borderId="38" xfId="586" applyFont="1" applyBorder="1">
      <alignment/>
      <protection/>
    </xf>
    <xf numFmtId="0" fontId="67" fillId="0" borderId="101" xfId="586" applyFont="1" applyBorder="1">
      <alignment/>
      <protection/>
    </xf>
    <xf numFmtId="0" fontId="67" fillId="0" borderId="102" xfId="586" applyFont="1" applyBorder="1">
      <alignment/>
      <protection/>
    </xf>
    <xf numFmtId="4" fontId="35" fillId="4" borderId="58" xfId="586" applyNumberFormat="1" applyFont="1" applyFill="1" applyBorder="1">
      <alignment/>
      <protection/>
    </xf>
    <xf numFmtId="4" fontId="35" fillId="4" borderId="59" xfId="586" applyNumberFormat="1" applyFont="1" applyFill="1" applyBorder="1">
      <alignment/>
      <protection/>
    </xf>
    <xf numFmtId="4" fontId="35" fillId="4" borderId="60" xfId="586" applyNumberFormat="1" applyFont="1" applyFill="1" applyBorder="1">
      <alignment/>
      <protection/>
    </xf>
    <xf numFmtId="4" fontId="35" fillId="4" borderId="94" xfId="586" applyNumberFormat="1" applyFont="1" applyFill="1" applyBorder="1">
      <alignment/>
      <protection/>
    </xf>
    <xf numFmtId="4" fontId="35" fillId="4" borderId="95" xfId="586" applyNumberFormat="1" applyFont="1" applyFill="1" applyBorder="1">
      <alignment/>
      <protection/>
    </xf>
    <xf numFmtId="177" fontId="35" fillId="0" borderId="0" xfId="586" applyNumberFormat="1" applyFont="1" applyFill="1" applyBorder="1">
      <alignment/>
      <protection/>
    </xf>
    <xf numFmtId="0" fontId="34" fillId="0" borderId="0" xfId="586" applyFont="1" applyFill="1" applyBorder="1">
      <alignment/>
      <protection/>
    </xf>
    <xf numFmtId="4" fontId="35" fillId="3" borderId="57" xfId="586" applyNumberFormat="1" applyFont="1" applyFill="1" applyBorder="1">
      <alignment/>
      <protection/>
    </xf>
    <xf numFmtId="177" fontId="37" fillId="0" borderId="0" xfId="586" applyNumberFormat="1" applyFont="1" applyFill="1" applyBorder="1" applyAlignment="1">
      <alignment horizontal="right"/>
      <protection/>
    </xf>
    <xf numFmtId="4" fontId="37" fillId="3" borderId="66" xfId="586" applyNumberFormat="1" applyFont="1" applyFill="1" applyBorder="1">
      <alignment/>
      <protection/>
    </xf>
    <xf numFmtId="0" fontId="43" fillId="4" borderId="22" xfId="586" applyFont="1" applyFill="1" applyBorder="1">
      <alignment/>
      <protection/>
    </xf>
    <xf numFmtId="0" fontId="68" fillId="4" borderId="26" xfId="586" applyFont="1" applyFill="1" applyBorder="1">
      <alignment/>
      <protection/>
    </xf>
    <xf numFmtId="0" fontId="68" fillId="4" borderId="23" xfId="586" applyFont="1" applyFill="1" applyBorder="1">
      <alignment/>
      <protection/>
    </xf>
    <xf numFmtId="0" fontId="43" fillId="4" borderId="58" xfId="586" applyFont="1" applyFill="1" applyBorder="1" applyAlignment="1">
      <alignment horizontal="center"/>
      <protection/>
    </xf>
    <xf numFmtId="3" fontId="43" fillId="4" borderId="87" xfId="586" applyNumberFormat="1" applyFont="1" applyFill="1" applyBorder="1" applyAlignment="1">
      <alignment horizontal="center" vertical="top"/>
      <protection/>
    </xf>
    <xf numFmtId="1" fontId="43" fillId="4" borderId="27" xfId="586" applyNumberFormat="1" applyFont="1" applyFill="1" applyBorder="1" applyAlignment="1">
      <alignment horizontal="center" vertical="center"/>
      <protection/>
    </xf>
    <xf numFmtId="1" fontId="43" fillId="4" borderId="24" xfId="586" applyNumberFormat="1" applyFont="1" applyFill="1" applyBorder="1" applyAlignment="1">
      <alignment horizontal="center" vertical="center"/>
      <protection/>
    </xf>
    <xf numFmtId="1" fontId="43" fillId="4" borderId="28" xfId="586" applyNumberFormat="1" applyFont="1" applyFill="1" applyBorder="1" applyAlignment="1">
      <alignment horizontal="center" vertical="center"/>
      <protection/>
    </xf>
    <xf numFmtId="2" fontId="43" fillId="0" borderId="0" xfId="586" applyNumberFormat="1" applyFont="1" applyFill="1" applyBorder="1" applyAlignment="1">
      <alignment horizontal="center" vertical="center"/>
      <protection/>
    </xf>
    <xf numFmtId="1" fontId="43" fillId="0" borderId="0" xfId="586" applyNumberFormat="1" applyFont="1" applyFill="1" applyBorder="1" applyAlignment="1">
      <alignment horizontal="center" vertical="top"/>
      <protection/>
    </xf>
    <xf numFmtId="0" fontId="81" fillId="0" borderId="34" xfId="586" applyFont="1" applyBorder="1">
      <alignment/>
      <protection/>
    </xf>
    <xf numFmtId="0" fontId="81" fillId="0" borderId="14" xfId="586" applyFont="1" applyBorder="1">
      <alignment/>
      <protection/>
    </xf>
    <xf numFmtId="0" fontId="36" fillId="0" borderId="0" xfId="586" applyFont="1" applyFill="1" applyBorder="1" applyAlignment="1">
      <alignment horizontal="center"/>
      <protection/>
    </xf>
    <xf numFmtId="3" fontId="39" fillId="0" borderId="0" xfId="586" applyNumberFormat="1" applyFont="1" applyBorder="1">
      <alignment/>
      <protection/>
    </xf>
    <xf numFmtId="4" fontId="36" fillId="0" borderId="81" xfId="586" applyNumberFormat="1" applyFont="1" applyBorder="1">
      <alignment/>
      <protection/>
    </xf>
    <xf numFmtId="3" fontId="41" fillId="0" borderId="0" xfId="586" applyNumberFormat="1" applyFont="1" applyBorder="1">
      <alignment/>
      <protection/>
    </xf>
    <xf numFmtId="0" fontId="82" fillId="4" borderId="38" xfId="586" applyFont="1" applyFill="1" applyBorder="1">
      <alignment/>
      <protection/>
    </xf>
    <xf numFmtId="0" fontId="81" fillId="4" borderId="39" xfId="586" applyFont="1" applyFill="1" applyBorder="1">
      <alignment/>
      <protection/>
    </xf>
    <xf numFmtId="4" fontId="36" fillId="4" borderId="41" xfId="586" applyNumberFormat="1" applyFont="1" applyFill="1" applyBorder="1">
      <alignment/>
      <protection/>
    </xf>
    <xf numFmtId="4" fontId="36" fillId="4" borderId="39" xfId="586" applyNumberFormat="1" applyFont="1" applyFill="1" applyBorder="1">
      <alignment/>
      <protection/>
    </xf>
    <xf numFmtId="4" fontId="36" fillId="4" borderId="43" xfId="586" applyNumberFormat="1" applyFont="1" applyFill="1" applyBorder="1" applyAlignment="1">
      <alignment horizontal="right"/>
      <protection/>
    </xf>
    <xf numFmtId="4" fontId="36" fillId="4" borderId="40" xfId="586" applyNumberFormat="1" applyFont="1" applyFill="1" applyBorder="1" applyAlignment="1">
      <alignment horizontal="right"/>
      <protection/>
    </xf>
    <xf numFmtId="4" fontId="36" fillId="4" borderId="44" xfId="586" applyNumberFormat="1" applyFont="1" applyFill="1" applyBorder="1" applyAlignment="1">
      <alignment horizontal="right"/>
      <protection/>
    </xf>
    <xf numFmtId="0" fontId="83" fillId="0" borderId="0" xfId="586" applyFont="1" applyBorder="1">
      <alignment/>
      <protection/>
    </xf>
    <xf numFmtId="0" fontId="81" fillId="0" borderId="0" xfId="586" applyFont="1" applyBorder="1">
      <alignment/>
      <protection/>
    </xf>
    <xf numFmtId="0" fontId="5" fillId="0" borderId="0" xfId="586" applyFont="1" applyFill="1" applyBorder="1" applyAlignment="1">
      <alignment horizontal="center"/>
      <protection/>
    </xf>
    <xf numFmtId="0" fontId="81" fillId="0" borderId="22" xfId="586" applyFont="1" applyBorder="1">
      <alignment/>
      <protection/>
    </xf>
    <xf numFmtId="0" fontId="81" fillId="0" borderId="23" xfId="586" applyFont="1" applyBorder="1">
      <alignment/>
      <protection/>
    </xf>
    <xf numFmtId="4" fontId="36" fillId="0" borderId="58" xfId="586" applyNumberFormat="1" applyFont="1" applyBorder="1">
      <alignment/>
      <protection/>
    </xf>
    <xf numFmtId="4" fontId="36" fillId="0" borderId="87" xfId="586" applyNumberFormat="1" applyFont="1" applyBorder="1">
      <alignment/>
      <protection/>
    </xf>
    <xf numFmtId="4" fontId="36" fillId="9" borderId="27" xfId="586" applyNumberFormat="1" applyFont="1" applyFill="1" applyBorder="1" applyAlignment="1">
      <alignment horizontal="right"/>
      <protection/>
    </xf>
    <xf numFmtId="4" fontId="36" fillId="0" borderId="24" xfId="586" applyNumberFormat="1" applyFont="1" applyBorder="1" applyAlignment="1">
      <alignment horizontal="right"/>
      <protection/>
    </xf>
    <xf numFmtId="4" fontId="36" fillId="0" borderId="28" xfId="586" applyNumberFormat="1" applyFont="1" applyBorder="1" applyAlignment="1">
      <alignment horizontal="right"/>
      <protection/>
    </xf>
    <xf numFmtId="4" fontId="36" fillId="4" borderId="53" xfId="586" applyNumberFormat="1" applyFont="1" applyFill="1" applyBorder="1">
      <alignment/>
      <protection/>
    </xf>
    <xf numFmtId="0" fontId="0" fillId="8" borderId="14" xfId="0" applyFont="1" applyFill="1" applyBorder="1" applyAlignment="1">
      <alignment/>
    </xf>
    <xf numFmtId="0" fontId="69" fillId="0" borderId="14" xfId="586" applyFont="1" applyFill="1" applyBorder="1" applyAlignment="1">
      <alignment horizontal="left"/>
      <protection/>
    </xf>
    <xf numFmtId="4" fontId="36" fillId="26" borderId="17" xfId="586" applyNumberFormat="1" applyFont="1" applyFill="1" applyBorder="1" applyAlignment="1">
      <alignment horizontal="right"/>
      <protection/>
    </xf>
    <xf numFmtId="4" fontId="67" fillId="26" borderId="18" xfId="586" applyNumberFormat="1" applyFont="1" applyFill="1" applyBorder="1" applyAlignment="1">
      <alignment horizontal="left"/>
      <protection/>
    </xf>
    <xf numFmtId="4" fontId="36" fillId="27" borderId="0" xfId="586" applyNumberFormat="1" applyFont="1" applyFill="1" applyBorder="1" applyAlignment="1">
      <alignment horizontal="right"/>
      <protection/>
    </xf>
    <xf numFmtId="4" fontId="36" fillId="28" borderId="31" xfId="586" applyNumberFormat="1" applyFont="1" applyFill="1" applyBorder="1">
      <alignment/>
      <protection/>
    </xf>
    <xf numFmtId="4" fontId="36" fillId="28" borderId="31" xfId="586" applyNumberFormat="1" applyFont="1" applyFill="1" applyBorder="1" applyAlignment="1">
      <alignment horizontal="right"/>
      <protection/>
    </xf>
    <xf numFmtId="4" fontId="36" fillId="28" borderId="35" xfId="586" applyNumberFormat="1" applyFont="1" applyFill="1" applyBorder="1" applyAlignment="1">
      <alignment horizontal="right"/>
      <protection/>
    </xf>
    <xf numFmtId="4" fontId="36" fillId="28" borderId="43" xfId="586" applyNumberFormat="1" applyFont="1" applyFill="1" applyBorder="1" applyAlignment="1">
      <alignment horizontal="right"/>
      <protection/>
    </xf>
    <xf numFmtId="4" fontId="36" fillId="28" borderId="43" xfId="586" applyNumberFormat="1" applyFont="1" applyFill="1" applyBorder="1" applyAlignment="1">
      <alignment horizontal="left"/>
      <protection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/>
    </xf>
    <xf numFmtId="49" fontId="28" fillId="0" borderId="103" xfId="0" applyNumberFormat="1" applyFont="1" applyBorder="1" applyAlignment="1">
      <alignment horizontal="center"/>
    </xf>
    <xf numFmtId="0" fontId="28" fillId="0" borderId="104" xfId="0" applyFont="1" applyBorder="1" applyAlignment="1">
      <alignment/>
    </xf>
    <xf numFmtId="0" fontId="26" fillId="0" borderId="104" xfId="0" applyFont="1" applyBorder="1" applyAlignment="1">
      <alignment/>
    </xf>
    <xf numFmtId="0" fontId="26" fillId="0" borderId="105" xfId="0" applyFont="1" applyBorder="1" applyAlignment="1">
      <alignment/>
    </xf>
    <xf numFmtId="3" fontId="28" fillId="0" borderId="106" xfId="0" applyNumberFormat="1" applyFont="1" applyBorder="1" applyAlignment="1">
      <alignment horizontal="right"/>
    </xf>
    <xf numFmtId="49" fontId="53" fillId="10" borderId="20" xfId="0" applyNumberFormat="1" applyFont="1" applyFill="1" applyBorder="1" applyAlignment="1">
      <alignment horizontal="left"/>
    </xf>
    <xf numFmtId="0" fontId="50" fillId="7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left"/>
    </xf>
    <xf numFmtId="0" fontId="28" fillId="0" borderId="13" xfId="0" applyFont="1" applyBorder="1" applyAlignment="1">
      <alignment horizontal="justify" vertical="top"/>
    </xf>
    <xf numFmtId="0" fontId="28" fillId="0" borderId="15" xfId="0" applyFont="1" applyBorder="1" applyAlignment="1">
      <alignment horizontal="justify" vertical="top"/>
    </xf>
    <xf numFmtId="49" fontId="28" fillId="15" borderId="14" xfId="0" applyNumberFormat="1" applyFont="1" applyFill="1" applyBorder="1" applyAlignment="1">
      <alignment horizontal="left"/>
    </xf>
    <xf numFmtId="0" fontId="28" fillId="0" borderId="46" xfId="0" applyFont="1" applyBorder="1" applyAlignment="1">
      <alignment horizontal="justify" vertical="top"/>
    </xf>
    <xf numFmtId="0" fontId="28" fillId="0" borderId="13" xfId="0" applyFont="1" applyBorder="1" applyAlignment="1">
      <alignment horizontal="left"/>
    </xf>
    <xf numFmtId="0" fontId="28" fillId="15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8" fillId="0" borderId="13" xfId="0" applyFont="1" applyFill="1" applyBorder="1" applyAlignment="1">
      <alignment horizontal="justify" vertical="top"/>
    </xf>
    <xf numFmtId="49" fontId="28" fillId="0" borderId="0" xfId="0" applyNumberFormat="1" applyFont="1" applyFill="1" applyBorder="1" applyAlignment="1">
      <alignment horizontal="justify" vertical="top"/>
    </xf>
    <xf numFmtId="49" fontId="24" fillId="4" borderId="0" xfId="0" applyNumberFormat="1" applyFont="1" applyFill="1" applyBorder="1" applyAlignment="1">
      <alignment horizontal="center"/>
    </xf>
    <xf numFmtId="0" fontId="26" fillId="3" borderId="13" xfId="0" applyFont="1" applyFill="1" applyBorder="1" applyAlignment="1">
      <alignment horizontal="left"/>
    </xf>
    <xf numFmtId="3" fontId="26" fillId="3" borderId="15" xfId="0" applyNumberFormat="1" applyFont="1" applyFill="1" applyBorder="1" applyAlignment="1">
      <alignment horizontal="right"/>
    </xf>
    <xf numFmtId="0" fontId="26" fillId="3" borderId="15" xfId="0" applyFont="1" applyFill="1" applyBorder="1" applyAlignment="1">
      <alignment horizontal="right"/>
    </xf>
    <xf numFmtId="0" fontId="24" fillId="4" borderId="13" xfId="0" applyFont="1" applyFill="1" applyBorder="1" applyAlignment="1">
      <alignment horizontal="left"/>
    </xf>
    <xf numFmtId="3" fontId="24" fillId="4" borderId="15" xfId="0" applyNumberFormat="1" applyFont="1" applyFill="1" applyBorder="1" applyAlignment="1">
      <alignment horizontal="right"/>
    </xf>
    <xf numFmtId="0" fontId="32" fillId="6" borderId="0" xfId="586" applyFont="1" applyFill="1" applyBorder="1" applyAlignment="1">
      <alignment horizontal="center"/>
      <protection/>
    </xf>
    <xf numFmtId="0" fontId="32" fillId="0" borderId="0" xfId="586" applyFont="1" applyBorder="1" applyAlignment="1">
      <alignment horizontal="center"/>
      <protection/>
    </xf>
    <xf numFmtId="2" fontId="32" fillId="4" borderId="0" xfId="586" applyNumberFormat="1" applyFont="1" applyFill="1" applyBorder="1" applyAlignment="1">
      <alignment horizontal="center"/>
      <protection/>
    </xf>
    <xf numFmtId="0" fontId="34" fillId="4" borderId="107" xfId="586" applyFont="1" applyFill="1" applyBorder="1" applyAlignment="1">
      <alignment horizontal="left"/>
      <protection/>
    </xf>
    <xf numFmtId="3" fontId="32" fillId="4" borderId="0" xfId="586" applyNumberFormat="1" applyFont="1" applyFill="1" applyBorder="1" applyAlignment="1">
      <alignment horizontal="center"/>
      <protection/>
    </xf>
    <xf numFmtId="0" fontId="34" fillId="4" borderId="34" xfId="586" applyFont="1" applyFill="1" applyBorder="1" applyAlignment="1">
      <alignment horizontal="left"/>
      <protection/>
    </xf>
    <xf numFmtId="0" fontId="34" fillId="4" borderId="45" xfId="586" applyFont="1" applyFill="1" applyBorder="1" applyAlignment="1">
      <alignment horizontal="left"/>
      <protection/>
    </xf>
    <xf numFmtId="0" fontId="36" fillId="0" borderId="107" xfId="586" applyFont="1" applyBorder="1" applyAlignment="1">
      <alignment horizontal="left"/>
      <protection/>
    </xf>
    <xf numFmtId="0" fontId="31" fillId="4" borderId="0" xfId="586" applyFont="1" applyFill="1" applyBorder="1" applyAlignment="1">
      <alignment horizontal="center"/>
      <protection/>
    </xf>
    <xf numFmtId="0" fontId="43" fillId="4" borderId="0" xfId="586" applyFont="1" applyFill="1" applyBorder="1" applyAlignment="1">
      <alignment horizontal="center"/>
      <protection/>
    </xf>
    <xf numFmtId="0" fontId="36" fillId="0" borderId="108" xfId="586" applyFont="1" applyBorder="1" applyAlignment="1">
      <alignment horizontal="left"/>
      <protection/>
    </xf>
    <xf numFmtId="0" fontId="0" fillId="9" borderId="57" xfId="0" applyFont="1" applyFill="1" applyBorder="1" applyAlignment="1">
      <alignment horizontal="center" vertical="center"/>
    </xf>
    <xf numFmtId="0" fontId="44" fillId="9" borderId="95" xfId="0" applyFont="1" applyFill="1" applyBorder="1" applyAlignment="1">
      <alignment horizontal="center" vertical="center"/>
    </xf>
    <xf numFmtId="0" fontId="44" fillId="9" borderId="109" xfId="0" applyFont="1" applyFill="1" applyBorder="1" applyAlignment="1">
      <alignment horizontal="center" vertical="center"/>
    </xf>
    <xf numFmtId="0" fontId="52" fillId="15" borderId="13" xfId="0" applyFont="1" applyFill="1" applyBorder="1" applyAlignment="1">
      <alignment horizontal="left"/>
    </xf>
    <xf numFmtId="49" fontId="50" fillId="15" borderId="13" xfId="0" applyNumberFormat="1" applyFont="1" applyFill="1" applyBorder="1" applyAlignment="1">
      <alignment horizontal="left"/>
    </xf>
    <xf numFmtId="49" fontId="55" fillId="3" borderId="0" xfId="0" applyNumberFormat="1" applyFont="1" applyFill="1" applyBorder="1" applyAlignment="1">
      <alignment horizontal="left"/>
    </xf>
    <xf numFmtId="49" fontId="50" fillId="7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5" fillId="10" borderId="110" xfId="0" applyFont="1" applyFill="1" applyBorder="1" applyAlignment="1">
      <alignment horizontal="center" vertical="center"/>
    </xf>
    <xf numFmtId="0" fontId="55" fillId="7" borderId="54" xfId="0" applyFont="1" applyFill="1" applyBorder="1" applyAlignment="1">
      <alignment horizontal="left"/>
    </xf>
    <xf numFmtId="0" fontId="5" fillId="10" borderId="57" xfId="0" applyFont="1" applyFill="1" applyBorder="1" applyAlignment="1">
      <alignment horizontal="center" vertical="center"/>
    </xf>
    <xf numFmtId="0" fontId="0" fillId="15" borderId="111" xfId="0" applyFont="1" applyFill="1" applyBorder="1" applyAlignment="1">
      <alignment horizontal="center"/>
    </xf>
    <xf numFmtId="0" fontId="0" fillId="3" borderId="108" xfId="0" applyFont="1" applyFill="1" applyBorder="1" applyAlignment="1">
      <alignment horizontal="center"/>
    </xf>
    <xf numFmtId="0" fontId="0" fillId="4" borderId="10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15" borderId="108" xfId="0" applyFont="1" applyFill="1" applyBorder="1" applyAlignment="1">
      <alignment horizontal="center"/>
    </xf>
    <xf numFmtId="0" fontId="0" fillId="4" borderId="107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3" fontId="0" fillId="4" borderId="15" xfId="0" applyNumberForma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/>
    </xf>
    <xf numFmtId="0" fontId="55" fillId="7" borderId="13" xfId="0" applyFont="1" applyFill="1" applyBorder="1" applyAlignment="1">
      <alignment horizontal="center" vertical="top"/>
    </xf>
    <xf numFmtId="0" fontId="52" fillId="4" borderId="15" xfId="0" applyFont="1" applyFill="1" applyBorder="1" applyAlignment="1">
      <alignment horizontal="center" vertical="center"/>
    </xf>
    <xf numFmtId="173" fontId="25" fillId="6" borderId="0" xfId="565" applyFont="1" applyFill="1" applyBorder="1" applyAlignment="1" applyProtection="1">
      <alignment horizontal="center"/>
      <protection/>
    </xf>
    <xf numFmtId="3" fontId="31" fillId="4" borderId="0" xfId="586" applyNumberFormat="1" applyFont="1" applyFill="1" applyBorder="1" applyAlignment="1">
      <alignment horizontal="center"/>
      <protection/>
    </xf>
    <xf numFmtId="0" fontId="35" fillId="4" borderId="112" xfId="586" applyFont="1" applyFill="1" applyBorder="1" applyAlignment="1">
      <alignment horizontal="left"/>
      <protection/>
    </xf>
  </cellXfs>
  <cellStyles count="6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Check Cell" xfId="517"/>
    <cellStyle name="Check Cell 1" xfId="518"/>
    <cellStyle name="Check Cell 10" xfId="519"/>
    <cellStyle name="Check Cell 11" xfId="520"/>
    <cellStyle name="Check Cell 12" xfId="521"/>
    <cellStyle name="Check Cell 13" xfId="522"/>
    <cellStyle name="Check Cell 14" xfId="523"/>
    <cellStyle name="Check Cell 2" xfId="524"/>
    <cellStyle name="Check Cell 3" xfId="525"/>
    <cellStyle name="Check Cell 4" xfId="526"/>
    <cellStyle name="Check Cell 5" xfId="527"/>
    <cellStyle name="Check Cell 6" xfId="528"/>
    <cellStyle name="Check Cell 7" xfId="529"/>
    <cellStyle name="Check Cell 8" xfId="530"/>
    <cellStyle name="Check Cell 9" xfId="531"/>
    <cellStyle name="Input" xfId="532"/>
    <cellStyle name="Input 1" xfId="533"/>
    <cellStyle name="Input 10" xfId="534"/>
    <cellStyle name="Input 11" xfId="535"/>
    <cellStyle name="Input 12" xfId="536"/>
    <cellStyle name="Input 13" xfId="537"/>
    <cellStyle name="Input 14" xfId="538"/>
    <cellStyle name="Input 2" xfId="539"/>
    <cellStyle name="Input 3" xfId="540"/>
    <cellStyle name="Input 4" xfId="541"/>
    <cellStyle name="Input 5" xfId="542"/>
    <cellStyle name="Input 6" xfId="543"/>
    <cellStyle name="Input 7" xfId="544"/>
    <cellStyle name="Input 8" xfId="545"/>
    <cellStyle name="Input 9" xfId="546"/>
    <cellStyle name="Kontrolná bunka" xfId="547"/>
    <cellStyle name="Linked Cell" xfId="548"/>
    <cellStyle name="Linked Cell 1" xfId="549"/>
    <cellStyle name="Linked Cell 10" xfId="550"/>
    <cellStyle name="Linked Cell 11" xfId="551"/>
    <cellStyle name="Linked Cell 12" xfId="552"/>
    <cellStyle name="Linked Cell 13" xfId="553"/>
    <cellStyle name="Linked Cell 14" xfId="554"/>
    <cellStyle name="Linked Cell 2" xfId="555"/>
    <cellStyle name="Linked Cell 3" xfId="556"/>
    <cellStyle name="Linked Cell 4" xfId="557"/>
    <cellStyle name="Linked Cell 5" xfId="558"/>
    <cellStyle name="Linked Cell 6" xfId="559"/>
    <cellStyle name="Linked Cell 7" xfId="560"/>
    <cellStyle name="Linked Cell 8" xfId="561"/>
    <cellStyle name="Linked Cell 9" xfId="562"/>
    <cellStyle name="Currency" xfId="563"/>
    <cellStyle name="Currency [0]" xfId="564"/>
    <cellStyle name="meny_Rozpočet_2013_2015" xfId="565"/>
    <cellStyle name="Nadpis 1" xfId="566"/>
    <cellStyle name="Nadpis 2" xfId="567"/>
    <cellStyle name="Nadpis 3" xfId="568"/>
    <cellStyle name="Nadpis 4" xfId="569"/>
    <cellStyle name="Neutral" xfId="570"/>
    <cellStyle name="Neutral 1" xfId="571"/>
    <cellStyle name="Neutral 10" xfId="572"/>
    <cellStyle name="Neutral 11" xfId="573"/>
    <cellStyle name="Neutral 12" xfId="574"/>
    <cellStyle name="Neutral 13" xfId="575"/>
    <cellStyle name="Neutral 14" xfId="576"/>
    <cellStyle name="Neutral 2" xfId="577"/>
    <cellStyle name="Neutral 3" xfId="578"/>
    <cellStyle name="Neutral 4" xfId="579"/>
    <cellStyle name="Neutral 5" xfId="580"/>
    <cellStyle name="Neutral 6" xfId="581"/>
    <cellStyle name="Neutral 7" xfId="582"/>
    <cellStyle name="Neutral 8" xfId="583"/>
    <cellStyle name="Neutral 9" xfId="584"/>
    <cellStyle name="Neutrálna" xfId="585"/>
    <cellStyle name="normálne_Rozpočet_2013_2015" xfId="586"/>
    <cellStyle name="Note" xfId="587"/>
    <cellStyle name="Note 1" xfId="588"/>
    <cellStyle name="Note 10" xfId="589"/>
    <cellStyle name="Note 11" xfId="590"/>
    <cellStyle name="Note 12" xfId="591"/>
    <cellStyle name="Note 13" xfId="592"/>
    <cellStyle name="Note 14" xfId="593"/>
    <cellStyle name="Note 2" xfId="594"/>
    <cellStyle name="Note 3" xfId="595"/>
    <cellStyle name="Note 4" xfId="596"/>
    <cellStyle name="Note 5" xfId="597"/>
    <cellStyle name="Note 6" xfId="598"/>
    <cellStyle name="Note 7" xfId="599"/>
    <cellStyle name="Note 8" xfId="600"/>
    <cellStyle name="Note 9" xfId="601"/>
    <cellStyle name="Output" xfId="602"/>
    <cellStyle name="Output 1" xfId="603"/>
    <cellStyle name="Output 10" xfId="604"/>
    <cellStyle name="Output 11" xfId="605"/>
    <cellStyle name="Output 12" xfId="606"/>
    <cellStyle name="Output 13" xfId="607"/>
    <cellStyle name="Output 14" xfId="608"/>
    <cellStyle name="Output 2" xfId="609"/>
    <cellStyle name="Output 3" xfId="610"/>
    <cellStyle name="Output 4" xfId="611"/>
    <cellStyle name="Output 5" xfId="612"/>
    <cellStyle name="Output 6" xfId="613"/>
    <cellStyle name="Output 7" xfId="614"/>
    <cellStyle name="Output 8" xfId="615"/>
    <cellStyle name="Output 9" xfId="616"/>
    <cellStyle name="Percent" xfId="617"/>
    <cellStyle name="Poznámka" xfId="618"/>
    <cellStyle name="Prepojená bunka" xfId="619"/>
    <cellStyle name="Spolu" xfId="620"/>
    <cellStyle name="Text upozornenia" xfId="621"/>
    <cellStyle name="Title" xfId="622"/>
    <cellStyle name="Title 1" xfId="623"/>
    <cellStyle name="Title 10" xfId="624"/>
    <cellStyle name="Title 11" xfId="625"/>
    <cellStyle name="Title 12" xfId="626"/>
    <cellStyle name="Title 13" xfId="627"/>
    <cellStyle name="Title 14" xfId="628"/>
    <cellStyle name="Title 2" xfId="629"/>
    <cellStyle name="Title 3" xfId="630"/>
    <cellStyle name="Title 4" xfId="631"/>
    <cellStyle name="Title 5" xfId="632"/>
    <cellStyle name="Title 6" xfId="633"/>
    <cellStyle name="Title 7" xfId="634"/>
    <cellStyle name="Title 8" xfId="635"/>
    <cellStyle name="Title 9" xfId="636"/>
    <cellStyle name="Titul" xfId="637"/>
    <cellStyle name="Total" xfId="638"/>
    <cellStyle name="Total 1" xfId="639"/>
    <cellStyle name="Total 10" xfId="640"/>
    <cellStyle name="Total 11" xfId="641"/>
    <cellStyle name="Total 12" xfId="642"/>
    <cellStyle name="Total 13" xfId="643"/>
    <cellStyle name="Total 14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Vstup" xfId="653"/>
    <cellStyle name="Výpočet" xfId="654"/>
    <cellStyle name="Výstup" xfId="655"/>
    <cellStyle name="Vysvetľujúci text" xfId="656"/>
    <cellStyle name="Warning Text" xfId="657"/>
    <cellStyle name="Warning Text 1" xfId="658"/>
    <cellStyle name="Warning Text 10" xfId="659"/>
    <cellStyle name="Warning Text 11" xfId="660"/>
    <cellStyle name="Warning Text 12" xfId="661"/>
    <cellStyle name="Warning Text 13" xfId="662"/>
    <cellStyle name="Warning Text 14" xfId="663"/>
    <cellStyle name="Warning Text 2" xfId="664"/>
    <cellStyle name="Warning Text 3" xfId="665"/>
    <cellStyle name="Warning Text 4" xfId="666"/>
    <cellStyle name="Warning Text 5" xfId="667"/>
    <cellStyle name="Warning Text 6" xfId="668"/>
    <cellStyle name="Warning Text 7" xfId="669"/>
    <cellStyle name="Warning Text 8" xfId="670"/>
    <cellStyle name="Warning Text 9" xfId="671"/>
    <cellStyle name="Zlá" xfId="672"/>
    <cellStyle name="Zvýraznenie1" xfId="673"/>
    <cellStyle name="Zvýraznenie2" xfId="674"/>
    <cellStyle name="Zvýraznenie3" xfId="675"/>
    <cellStyle name="Zvýraznenie4" xfId="676"/>
    <cellStyle name="Zvýraznenie5" xfId="677"/>
    <cellStyle name="Zvýraznenie6" xfId="6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55">
      <selection activeCell="I75" sqref="I75"/>
    </sheetView>
  </sheetViews>
  <sheetFormatPr defaultColWidth="9.140625" defaultRowHeight="12.75"/>
  <cols>
    <col min="1" max="1" width="9.140625" style="1" customWidth="1"/>
    <col min="9" max="9" width="11.8515625" style="2" customWidth="1"/>
  </cols>
  <sheetData>
    <row r="1" spans="1:9" ht="18">
      <c r="A1" s="1444" t="s">
        <v>0</v>
      </c>
      <c r="B1" s="1444"/>
      <c r="C1" s="1444"/>
      <c r="D1" s="1444"/>
      <c r="E1" s="1444"/>
      <c r="F1" s="1444"/>
      <c r="G1" s="1444"/>
      <c r="H1" s="1444"/>
      <c r="I1" s="1444"/>
    </row>
    <row r="3" spans="1:9" ht="15.75">
      <c r="A3" s="1445" t="s">
        <v>1</v>
      </c>
      <c r="B3" s="1445"/>
      <c r="C3" s="1445"/>
      <c r="D3" s="1445"/>
      <c r="E3" s="1445"/>
      <c r="F3" s="1445"/>
      <c r="G3" s="1445"/>
      <c r="H3" s="1445"/>
      <c r="I3" s="3">
        <f>I5+I32+I57</f>
        <v>1518953</v>
      </c>
    </row>
    <row r="4" spans="1:9" ht="15">
      <c r="A4" s="4"/>
      <c r="B4" s="5"/>
      <c r="C4" s="5"/>
      <c r="D4" s="5"/>
      <c r="E4" s="5"/>
      <c r="F4" s="5"/>
      <c r="G4" s="5"/>
      <c r="H4" s="5"/>
      <c r="I4" s="6"/>
    </row>
    <row r="5" spans="1:9" ht="15.75">
      <c r="A5" s="1446" t="s">
        <v>2</v>
      </c>
      <c r="B5" s="1446"/>
      <c r="C5" s="1446"/>
      <c r="D5" s="1446"/>
      <c r="E5" s="1446"/>
      <c r="F5" s="1446"/>
      <c r="G5" s="1446"/>
      <c r="H5" s="1446"/>
      <c r="I5" s="7">
        <f>I7+I9+I11+I13+I15+I17+I19</f>
        <v>831753</v>
      </c>
    </row>
    <row r="6" spans="1:8" ht="15">
      <c r="A6" s="8"/>
      <c r="B6" s="5"/>
      <c r="C6" s="5"/>
      <c r="D6" s="5"/>
      <c r="E6" s="5"/>
      <c r="F6" s="5"/>
      <c r="G6" s="5"/>
      <c r="H6" s="5"/>
    </row>
    <row r="7" spans="1:9" ht="12.75">
      <c r="A7" s="9" t="s">
        <v>3</v>
      </c>
      <c r="B7" s="10" t="s">
        <v>4</v>
      </c>
      <c r="C7" s="10"/>
      <c r="D7" s="10"/>
      <c r="E7" s="10"/>
      <c r="F7" s="10"/>
      <c r="G7" s="10"/>
      <c r="H7" s="10"/>
      <c r="I7" s="11">
        <f>príjmy!L10</f>
        <v>600000</v>
      </c>
    </row>
    <row r="8" spans="1:9" ht="24.75" customHeight="1">
      <c r="A8" s="1447" t="s">
        <v>5</v>
      </c>
      <c r="B8" s="1447"/>
      <c r="C8" s="1447"/>
      <c r="D8" s="1447"/>
      <c r="E8" s="1447"/>
      <c r="F8" s="1447"/>
      <c r="G8" s="1447"/>
      <c r="H8" s="1447"/>
      <c r="I8" s="12"/>
    </row>
    <row r="9" spans="1:9" ht="12.75">
      <c r="A9" s="9" t="s">
        <v>6</v>
      </c>
      <c r="B9" s="10" t="s">
        <v>7</v>
      </c>
      <c r="C9" s="10"/>
      <c r="D9" s="10"/>
      <c r="E9" s="10"/>
      <c r="F9" s="10"/>
      <c r="G9" s="10"/>
      <c r="H9" s="10"/>
      <c r="I9" s="13">
        <f>príjmy!L11</f>
        <v>166192</v>
      </c>
    </row>
    <row r="10" spans="1:9" ht="90" customHeight="1">
      <c r="A10" s="1448" t="s">
        <v>8</v>
      </c>
      <c r="B10" s="1448"/>
      <c r="C10" s="1448"/>
      <c r="D10" s="1448"/>
      <c r="E10" s="1448"/>
      <c r="F10" s="1448"/>
      <c r="G10" s="1448"/>
      <c r="H10" s="1448"/>
      <c r="I10" s="14"/>
    </row>
    <row r="11" spans="1:9" ht="12.75">
      <c r="A11" s="9" t="s">
        <v>9</v>
      </c>
      <c r="B11" s="10" t="s">
        <v>10</v>
      </c>
      <c r="C11" s="10"/>
      <c r="D11" s="10"/>
      <c r="E11" s="10"/>
      <c r="F11" s="10"/>
      <c r="G11" s="10"/>
      <c r="H11" s="10"/>
      <c r="I11" s="13">
        <f>príjmy!L22</f>
        <v>1450</v>
      </c>
    </row>
    <row r="12" spans="1:9" ht="69.75" customHeight="1">
      <c r="A12" s="1448" t="s">
        <v>11</v>
      </c>
      <c r="B12" s="1448"/>
      <c r="C12" s="1448"/>
      <c r="D12" s="1448"/>
      <c r="E12" s="1448"/>
      <c r="F12" s="1448"/>
      <c r="G12" s="1448"/>
      <c r="H12" s="1448"/>
      <c r="I12" s="15"/>
    </row>
    <row r="13" spans="1:9" ht="12.75">
      <c r="A13" s="9" t="s">
        <v>12</v>
      </c>
      <c r="B13" s="1449" t="s">
        <v>13</v>
      </c>
      <c r="C13" s="1449"/>
      <c r="D13" s="1449"/>
      <c r="E13" s="1449"/>
      <c r="F13" s="1449"/>
      <c r="G13" s="1449"/>
      <c r="H13" s="1449"/>
      <c r="I13" s="13">
        <f>príjmy!L19</f>
        <v>2750</v>
      </c>
    </row>
    <row r="14" spans="1:9" ht="39.75" customHeight="1">
      <c r="A14" s="1450" t="s">
        <v>14</v>
      </c>
      <c r="B14" s="1450"/>
      <c r="C14" s="1450"/>
      <c r="D14" s="1450"/>
      <c r="E14" s="1450"/>
      <c r="F14" s="1450"/>
      <c r="G14" s="1450"/>
      <c r="H14" s="1450"/>
      <c r="I14" s="15"/>
    </row>
    <row r="15" spans="1:9" ht="12.75">
      <c r="A15" s="9" t="s">
        <v>15</v>
      </c>
      <c r="B15" s="1449" t="s">
        <v>16</v>
      </c>
      <c r="C15" s="1449"/>
      <c r="D15" s="1449"/>
      <c r="E15" s="1449"/>
      <c r="F15" s="1449"/>
      <c r="G15" s="1449"/>
      <c r="H15" s="1449"/>
      <c r="I15" s="13">
        <f>príjmy!L21</f>
        <v>0</v>
      </c>
    </row>
    <row r="16" spans="1:9" ht="24.75" customHeight="1">
      <c r="A16" s="1450" t="s">
        <v>17</v>
      </c>
      <c r="B16" s="1450"/>
      <c r="C16" s="1450"/>
      <c r="D16" s="1450"/>
      <c r="E16" s="1450"/>
      <c r="F16" s="1450"/>
      <c r="G16" s="1450"/>
      <c r="H16" s="1450"/>
      <c r="I16" s="15"/>
    </row>
    <row r="17" spans="1:9" ht="12.75">
      <c r="A17" s="9" t="s">
        <v>18</v>
      </c>
      <c r="B17" s="1449" t="s">
        <v>19</v>
      </c>
      <c r="C17" s="1449"/>
      <c r="D17" s="1449"/>
      <c r="E17" s="1449"/>
      <c r="F17" s="1449"/>
      <c r="G17" s="1449"/>
      <c r="H17" s="1449"/>
      <c r="I17" s="13">
        <f>príjmy!L25</f>
        <v>26361</v>
      </c>
    </row>
    <row r="18" spans="1:9" ht="79.5" customHeight="1">
      <c r="A18" s="1450" t="s">
        <v>20</v>
      </c>
      <c r="B18" s="1450"/>
      <c r="C18" s="1450"/>
      <c r="D18" s="1450"/>
      <c r="E18" s="1450"/>
      <c r="F18" s="1450"/>
      <c r="G18" s="1450"/>
      <c r="H18" s="1450"/>
      <c r="I18" s="15"/>
    </row>
    <row r="19" spans="1:9" ht="12.75">
      <c r="A19" s="9" t="s">
        <v>21</v>
      </c>
      <c r="B19" s="10" t="s">
        <v>22</v>
      </c>
      <c r="C19" s="10"/>
      <c r="D19" s="10"/>
      <c r="E19" s="10"/>
      <c r="F19" s="10"/>
      <c r="G19" s="10"/>
      <c r="H19" s="10"/>
      <c r="I19" s="13">
        <f>príjmy!L23</f>
        <v>35000</v>
      </c>
    </row>
    <row r="20" spans="1:9" ht="49.5" customHeight="1">
      <c r="A20" s="1450" t="s">
        <v>23</v>
      </c>
      <c r="B20" s="1450"/>
      <c r="C20" s="1450"/>
      <c r="D20" s="1450"/>
      <c r="E20" s="1450"/>
      <c r="F20" s="1450"/>
      <c r="G20" s="1450"/>
      <c r="H20" s="1450"/>
      <c r="I20" s="15"/>
    </row>
    <row r="21" spans="1:9" ht="1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>
      <c r="A32" s="1446" t="s">
        <v>24</v>
      </c>
      <c r="B32" s="1446"/>
      <c r="C32" s="1446"/>
      <c r="D32" s="1446"/>
      <c r="E32" s="1446"/>
      <c r="F32" s="1446"/>
      <c r="G32" s="1446"/>
      <c r="H32" s="1446"/>
      <c r="I32" s="19">
        <f>I34+I36+I38+I40+I42+I44+I46+I48+I50+I52+I54</f>
        <v>112250</v>
      </c>
    </row>
    <row r="33" spans="1:9" ht="15">
      <c r="A33" s="16"/>
      <c r="B33" s="17"/>
      <c r="C33" s="17"/>
      <c r="D33" s="17"/>
      <c r="E33" s="17"/>
      <c r="F33" s="17"/>
      <c r="G33" s="17"/>
      <c r="H33" s="17"/>
      <c r="I33" s="20"/>
    </row>
    <row r="34" spans="1:9" ht="12.75">
      <c r="A34" s="9" t="s">
        <v>25</v>
      </c>
      <c r="B34" s="1449" t="s">
        <v>26</v>
      </c>
      <c r="C34" s="1449"/>
      <c r="D34" s="1449"/>
      <c r="E34" s="1449"/>
      <c r="F34" s="1449"/>
      <c r="G34" s="1449"/>
      <c r="H34" s="1449"/>
      <c r="I34" s="13">
        <f>príjmy!L34</f>
        <v>8000</v>
      </c>
    </row>
    <row r="35" spans="1:9" ht="15" customHeight="1">
      <c r="A35" s="1451" t="s">
        <v>27</v>
      </c>
      <c r="B35" s="1451"/>
      <c r="C35" s="1451"/>
      <c r="D35" s="1451"/>
      <c r="E35" s="1451"/>
      <c r="F35" s="1451"/>
      <c r="G35" s="1451"/>
      <c r="H35" s="1451"/>
      <c r="I35" s="21"/>
    </row>
    <row r="36" spans="1:9" ht="12.75">
      <c r="A36" s="9" t="s">
        <v>28</v>
      </c>
      <c r="B36" s="1449" t="s">
        <v>29</v>
      </c>
      <c r="C36" s="1449"/>
      <c r="D36" s="1449"/>
      <c r="E36" s="1449"/>
      <c r="F36" s="1449"/>
      <c r="G36" s="1449"/>
      <c r="H36" s="1449"/>
      <c r="I36" s="13">
        <f>príjmy!L35</f>
        <v>17000</v>
      </c>
    </row>
    <row r="37" spans="1:9" ht="15" customHeight="1">
      <c r="A37" s="1451" t="s">
        <v>30</v>
      </c>
      <c r="B37" s="1451"/>
      <c r="C37" s="1451"/>
      <c r="D37" s="1451"/>
      <c r="E37" s="1451"/>
      <c r="F37" s="1451"/>
      <c r="G37" s="1451"/>
      <c r="H37" s="1451"/>
      <c r="I37" s="21"/>
    </row>
    <row r="38" spans="1:9" ht="12.75">
      <c r="A38" s="9" t="s">
        <v>31</v>
      </c>
      <c r="B38" s="1449" t="s">
        <v>32</v>
      </c>
      <c r="C38" s="1449"/>
      <c r="D38" s="1449"/>
      <c r="E38" s="1449"/>
      <c r="F38" s="1449"/>
      <c r="G38" s="1449"/>
      <c r="H38" s="1449"/>
      <c r="I38" s="13">
        <f>príjmy!L36</f>
        <v>15000</v>
      </c>
    </row>
    <row r="39" spans="1:9" ht="15" customHeight="1">
      <c r="A39" s="1451" t="s">
        <v>33</v>
      </c>
      <c r="B39" s="1451"/>
      <c r="C39" s="1451"/>
      <c r="D39" s="1451"/>
      <c r="E39" s="1451"/>
      <c r="F39" s="1451"/>
      <c r="G39" s="1451"/>
      <c r="H39" s="1451"/>
      <c r="I39" s="21"/>
    </row>
    <row r="40" spans="1:9" ht="12.75">
      <c r="A40" s="9" t="s">
        <v>34</v>
      </c>
      <c r="B40" s="1449" t="s">
        <v>35</v>
      </c>
      <c r="C40" s="1449"/>
      <c r="D40" s="1449"/>
      <c r="E40" s="1449"/>
      <c r="F40" s="1449"/>
      <c r="G40" s="1449"/>
      <c r="H40" s="1449"/>
      <c r="I40" s="13">
        <f>príjmy!L40</f>
        <v>20000</v>
      </c>
    </row>
    <row r="41" spans="1:9" ht="64.5" customHeight="1">
      <c r="A41" s="1448" t="s">
        <v>36</v>
      </c>
      <c r="B41" s="1448"/>
      <c r="C41" s="1448"/>
      <c r="D41" s="1448"/>
      <c r="E41" s="1448"/>
      <c r="F41" s="1448"/>
      <c r="G41" s="1448"/>
      <c r="H41" s="1448"/>
      <c r="I41" s="21"/>
    </row>
    <row r="42" spans="1:9" ht="12.75">
      <c r="A42" s="9" t="s">
        <v>37</v>
      </c>
      <c r="B42" s="1449" t="s">
        <v>38</v>
      </c>
      <c r="C42" s="1449"/>
      <c r="D42" s="1449"/>
      <c r="E42" s="1449"/>
      <c r="F42" s="1449"/>
      <c r="G42" s="1449"/>
      <c r="H42" s="1449"/>
      <c r="I42" s="13">
        <f>príjmy!L41</f>
        <v>2000</v>
      </c>
    </row>
    <row r="43" spans="1:9" ht="24.75" customHeight="1">
      <c r="A43" s="1450" t="s">
        <v>39</v>
      </c>
      <c r="B43" s="1450"/>
      <c r="C43" s="1450"/>
      <c r="D43" s="1450"/>
      <c r="E43" s="1450"/>
      <c r="F43" s="1450"/>
      <c r="G43" s="1450"/>
      <c r="H43" s="1450"/>
      <c r="I43" s="22"/>
    </row>
    <row r="44" spans="1:9" ht="12.75">
      <c r="A44" s="9" t="s">
        <v>40</v>
      </c>
      <c r="B44" s="1452" t="s">
        <v>32</v>
      </c>
      <c r="C44" s="1452"/>
      <c r="D44" s="1452"/>
      <c r="E44" s="1452"/>
      <c r="F44" s="1452"/>
      <c r="G44" s="1452"/>
      <c r="H44" s="1452"/>
      <c r="I44" s="23">
        <f>príjmy!L43</f>
        <v>7000</v>
      </c>
    </row>
    <row r="45" spans="1:9" ht="15">
      <c r="A45" s="1451" t="s">
        <v>41</v>
      </c>
      <c r="B45" s="1451"/>
      <c r="C45" s="1451"/>
      <c r="D45" s="1451"/>
      <c r="E45" s="1451"/>
      <c r="F45" s="1451"/>
      <c r="G45" s="1451"/>
      <c r="H45" s="1451"/>
      <c r="I45" s="24"/>
    </row>
    <row r="46" spans="1:9" ht="12.75">
      <c r="A46" s="9" t="s">
        <v>42</v>
      </c>
      <c r="B46" s="1452" t="s">
        <v>43</v>
      </c>
      <c r="C46" s="1452"/>
      <c r="D46" s="1452"/>
      <c r="E46" s="1452"/>
      <c r="F46" s="1452"/>
      <c r="G46" s="1452"/>
      <c r="H46" s="1452"/>
      <c r="I46" s="23">
        <f>príjmy!L42</f>
        <v>700</v>
      </c>
    </row>
    <row r="47" spans="1:9" ht="15">
      <c r="A47" s="1451" t="s">
        <v>44</v>
      </c>
      <c r="B47" s="1451"/>
      <c r="C47" s="1451"/>
      <c r="D47" s="1451"/>
      <c r="E47" s="1451"/>
      <c r="F47" s="1451"/>
      <c r="G47" s="1451"/>
      <c r="H47" s="1451"/>
      <c r="I47" s="24"/>
    </row>
    <row r="48" spans="1:9" ht="12.75">
      <c r="A48" s="9" t="s">
        <v>45</v>
      </c>
      <c r="B48" s="1452" t="s">
        <v>46</v>
      </c>
      <c r="C48" s="1452"/>
      <c r="D48" s="1452"/>
      <c r="E48" s="1452"/>
      <c r="F48" s="1452"/>
      <c r="G48" s="1452"/>
      <c r="H48" s="1452"/>
      <c r="I48" s="23">
        <f>príjmy!L52</f>
        <v>100</v>
      </c>
    </row>
    <row r="49" spans="1:9" ht="15">
      <c r="A49" s="25"/>
      <c r="B49" s="1453"/>
      <c r="C49" s="1453"/>
      <c r="D49" s="1453"/>
      <c r="E49" s="1453"/>
      <c r="F49" s="1453"/>
      <c r="G49" s="1453"/>
      <c r="H49" s="1453"/>
      <c r="I49" s="24"/>
    </row>
    <row r="50" spans="1:9" ht="12.75">
      <c r="A50" s="9" t="s">
        <v>47</v>
      </c>
      <c r="B50" s="1452" t="s">
        <v>48</v>
      </c>
      <c r="C50" s="1452"/>
      <c r="D50" s="1452"/>
      <c r="E50" s="1452"/>
      <c r="F50" s="1452"/>
      <c r="G50" s="1452"/>
      <c r="H50" s="1452"/>
      <c r="I50" s="23">
        <f>príjmy!L45+príjmy!L46+príjmy!L48</f>
        <v>37000</v>
      </c>
    </row>
    <row r="51" spans="1:9" ht="24.75" customHeight="1">
      <c r="A51" s="1447" t="s">
        <v>49</v>
      </c>
      <c r="B51" s="1447"/>
      <c r="C51" s="1447"/>
      <c r="D51" s="1447"/>
      <c r="E51" s="1447"/>
      <c r="F51" s="1447"/>
      <c r="G51" s="1447"/>
      <c r="H51" s="1447"/>
      <c r="I51" s="24"/>
    </row>
    <row r="52" spans="1:9" ht="12.75">
      <c r="A52" s="9" t="s">
        <v>50</v>
      </c>
      <c r="B52" s="1452" t="s">
        <v>51</v>
      </c>
      <c r="C52" s="1452"/>
      <c r="D52" s="1452"/>
      <c r="E52" s="1452"/>
      <c r="F52" s="1452"/>
      <c r="G52" s="1452"/>
      <c r="H52" s="1452"/>
      <c r="I52" s="23">
        <f>príjmy!L47</f>
        <v>5000</v>
      </c>
    </row>
    <row r="53" spans="1:9" ht="15">
      <c r="A53" s="1451" t="s">
        <v>52</v>
      </c>
      <c r="B53" s="1451"/>
      <c r="C53" s="1451"/>
      <c r="D53" s="1451"/>
      <c r="E53" s="1451"/>
      <c r="F53" s="1451"/>
      <c r="G53" s="1451"/>
      <c r="H53" s="1451"/>
      <c r="I53" s="24"/>
    </row>
    <row r="54" spans="1:9" ht="12.75">
      <c r="A54" s="9" t="s">
        <v>53</v>
      </c>
      <c r="B54" s="1452" t="s">
        <v>54</v>
      </c>
      <c r="C54" s="1452"/>
      <c r="D54" s="1452"/>
      <c r="E54" s="1452"/>
      <c r="F54" s="1452"/>
      <c r="G54" s="1452"/>
      <c r="H54" s="1452"/>
      <c r="I54" s="23">
        <f>príjmy!L33+príjmy!L55+príjmy!L56+príjmy!L57+príjmy!L49</f>
        <v>450</v>
      </c>
    </row>
    <row r="55" spans="1:9" ht="24.75" customHeight="1">
      <c r="A55" s="1454" t="s">
        <v>742</v>
      </c>
      <c r="B55" s="1454"/>
      <c r="C55" s="1454"/>
      <c r="D55" s="1454"/>
      <c r="E55" s="1454"/>
      <c r="F55" s="1454"/>
      <c r="G55" s="1454"/>
      <c r="H55" s="1454"/>
      <c r="I55" s="24"/>
    </row>
    <row r="56" spans="1:9" ht="15">
      <c r="A56" s="16"/>
      <c r="B56" s="5"/>
      <c r="C56" s="5"/>
      <c r="D56" s="5"/>
      <c r="E56" s="5"/>
      <c r="F56" s="5"/>
      <c r="G56" s="5"/>
      <c r="H56" s="5"/>
      <c r="I56" s="26"/>
    </row>
    <row r="57" spans="1:9" ht="15.75">
      <c r="A57" s="1446" t="s">
        <v>55</v>
      </c>
      <c r="B57" s="1446"/>
      <c r="C57" s="1446"/>
      <c r="D57" s="1446"/>
      <c r="E57" s="1446"/>
      <c r="F57" s="1446"/>
      <c r="G57" s="1446"/>
      <c r="H57" s="1446"/>
      <c r="I57" s="19">
        <f>I61+I62+I63+I64+I65+I66+I67+I68+I69+I70+I71+I72+I73+I74+I75</f>
        <v>574950</v>
      </c>
    </row>
    <row r="58" spans="1:9" ht="15">
      <c r="A58" s="16"/>
      <c r="B58" s="5"/>
      <c r="C58" s="5"/>
      <c r="D58" s="5"/>
      <c r="E58" s="5"/>
      <c r="F58" s="5"/>
      <c r="G58" s="5"/>
      <c r="H58" s="5"/>
      <c r="I58" s="26"/>
    </row>
    <row r="59" spans="1:9" ht="24.75" customHeight="1">
      <c r="A59" s="1455" t="s">
        <v>743</v>
      </c>
      <c r="B59" s="1455"/>
      <c r="C59" s="1455"/>
      <c r="D59" s="1455"/>
      <c r="E59" s="1455"/>
      <c r="F59" s="1455"/>
      <c r="G59" s="1455"/>
      <c r="H59" s="1455"/>
      <c r="I59" s="1455"/>
    </row>
    <row r="60" spans="1:9" ht="15">
      <c r="A60" s="16"/>
      <c r="B60" s="5"/>
      <c r="C60" s="5"/>
      <c r="D60" s="5"/>
      <c r="E60" s="5"/>
      <c r="F60" s="5"/>
      <c r="G60" s="5"/>
      <c r="H60" s="5"/>
      <c r="I60" s="26"/>
    </row>
    <row r="61" spans="1:9" ht="12.75">
      <c r="A61" s="27" t="s">
        <v>56</v>
      </c>
      <c r="B61" s="28" t="s">
        <v>57</v>
      </c>
      <c r="C61" s="28"/>
      <c r="D61" s="28"/>
      <c r="E61" s="28"/>
      <c r="F61" s="28"/>
      <c r="G61" s="28"/>
      <c r="H61" s="28"/>
      <c r="I61" s="29">
        <f>príjmy!L66</f>
        <v>435000</v>
      </c>
    </row>
    <row r="62" spans="1:9" ht="12.75">
      <c r="A62" s="30" t="s">
        <v>58</v>
      </c>
      <c r="B62" s="31" t="s">
        <v>59</v>
      </c>
      <c r="C62" s="31"/>
      <c r="D62" s="31"/>
      <c r="E62" s="31"/>
      <c r="F62" s="31"/>
      <c r="G62" s="31"/>
      <c r="H62" s="31"/>
      <c r="I62" s="32">
        <f>príjmy!L69</f>
        <v>5000</v>
      </c>
    </row>
    <row r="63" spans="1:9" ht="12.75">
      <c r="A63" s="33" t="s">
        <v>60</v>
      </c>
      <c r="B63" s="34" t="s">
        <v>61</v>
      </c>
      <c r="C63" s="34"/>
      <c r="D63" s="34"/>
      <c r="E63" s="34"/>
      <c r="F63" s="34"/>
      <c r="G63" s="34"/>
      <c r="H63" s="34"/>
      <c r="I63" s="35">
        <f>príjmy!L70</f>
        <v>4800</v>
      </c>
    </row>
    <row r="64" spans="1:9" ht="12.75">
      <c r="A64" s="30" t="s">
        <v>62</v>
      </c>
      <c r="B64" s="31" t="s">
        <v>63</v>
      </c>
      <c r="C64" s="31"/>
      <c r="D64" s="31"/>
      <c r="E64" s="31"/>
      <c r="F64" s="31"/>
      <c r="G64" s="31"/>
      <c r="H64" s="31"/>
      <c r="I64" s="32">
        <f>príjmy!L71</f>
        <v>5000</v>
      </c>
    </row>
    <row r="65" spans="1:9" ht="12.75">
      <c r="A65" s="30" t="s">
        <v>64</v>
      </c>
      <c r="B65" s="31" t="s">
        <v>65</v>
      </c>
      <c r="C65" s="31"/>
      <c r="D65" s="31"/>
      <c r="E65" s="31"/>
      <c r="F65" s="31"/>
      <c r="G65" s="31"/>
      <c r="H65" s="31"/>
      <c r="I65" s="32">
        <f>príjmy!L72</f>
        <v>10000</v>
      </c>
    </row>
    <row r="66" spans="1:9" ht="12.75">
      <c r="A66" s="30" t="s">
        <v>66</v>
      </c>
      <c r="B66" s="31" t="s">
        <v>67</v>
      </c>
      <c r="C66" s="31"/>
      <c r="D66" s="31"/>
      <c r="E66" s="31"/>
      <c r="F66" s="31"/>
      <c r="G66" s="31"/>
      <c r="H66" s="31"/>
      <c r="I66" s="32">
        <f>príjmy!L74</f>
        <v>3500</v>
      </c>
    </row>
    <row r="67" spans="1:9" ht="12.75">
      <c r="A67" s="30" t="s">
        <v>68</v>
      </c>
      <c r="B67" s="31" t="s">
        <v>69</v>
      </c>
      <c r="C67" s="31"/>
      <c r="D67" s="31"/>
      <c r="E67" s="31"/>
      <c r="F67" s="31"/>
      <c r="G67" s="31"/>
      <c r="H67" s="31"/>
      <c r="I67" s="32">
        <f>príjmy!L75</f>
        <v>8000</v>
      </c>
    </row>
    <row r="68" spans="1:9" ht="12.75">
      <c r="A68" s="30" t="s">
        <v>70</v>
      </c>
      <c r="B68" s="31" t="s">
        <v>71</v>
      </c>
      <c r="C68" s="31"/>
      <c r="D68" s="31"/>
      <c r="E68" s="31"/>
      <c r="F68" s="31"/>
      <c r="G68" s="31"/>
      <c r="H68" s="31"/>
      <c r="I68" s="32">
        <f>príjmy!L78</f>
        <v>3000</v>
      </c>
    </row>
    <row r="69" spans="1:9" ht="12.75">
      <c r="A69" s="30" t="s">
        <v>72</v>
      </c>
      <c r="B69" s="31" t="s">
        <v>73</v>
      </c>
      <c r="C69" s="31"/>
      <c r="D69" s="31"/>
      <c r="E69" s="31"/>
      <c r="F69" s="31"/>
      <c r="G69" s="31"/>
      <c r="H69" s="31"/>
      <c r="I69" s="32">
        <f>príjmy!L76</f>
        <v>1500</v>
      </c>
    </row>
    <row r="70" spans="1:9" ht="12.75">
      <c r="A70" s="30" t="s">
        <v>74</v>
      </c>
      <c r="B70" s="31" t="s">
        <v>75</v>
      </c>
      <c r="C70" s="31"/>
      <c r="D70" s="31"/>
      <c r="E70" s="31"/>
      <c r="F70" s="31"/>
      <c r="G70" s="31"/>
      <c r="H70" s="31"/>
      <c r="I70" s="32">
        <f>príjmy!L77</f>
        <v>14500</v>
      </c>
    </row>
    <row r="71" spans="1:9" ht="12.75">
      <c r="A71" s="30" t="s">
        <v>76</v>
      </c>
      <c r="B71" s="31" t="s">
        <v>77</v>
      </c>
      <c r="C71" s="31"/>
      <c r="D71" s="31"/>
      <c r="E71" s="31"/>
      <c r="F71" s="31"/>
      <c r="G71" s="31"/>
      <c r="H71" s="31"/>
      <c r="I71" s="32">
        <f>príjmy!L65+príjmy!L73</f>
        <v>650</v>
      </c>
    </row>
    <row r="72" spans="1:9" ht="12.75">
      <c r="A72" s="30" t="s">
        <v>78</v>
      </c>
      <c r="B72" s="31" t="s">
        <v>79</v>
      </c>
      <c r="C72" s="31"/>
      <c r="D72" s="31"/>
      <c r="E72" s="31"/>
      <c r="F72" s="31"/>
      <c r="G72" s="31"/>
      <c r="H72" s="31"/>
      <c r="I72" s="32">
        <f>príjmy!L79</f>
        <v>0</v>
      </c>
    </row>
    <row r="73" spans="1:9" ht="12.75">
      <c r="A73" s="30" t="s">
        <v>80</v>
      </c>
      <c r="B73" s="31" t="s">
        <v>81</v>
      </c>
      <c r="C73" s="31"/>
      <c r="D73" s="31"/>
      <c r="E73" s="31"/>
      <c r="F73" s="31"/>
      <c r="G73" s="31"/>
      <c r="H73" s="31"/>
      <c r="I73" s="35">
        <f>príjmy!L80</f>
        <v>60000</v>
      </c>
    </row>
    <row r="74" spans="1:9" ht="15">
      <c r="A74" s="1435"/>
      <c r="B74" s="28" t="s">
        <v>164</v>
      </c>
      <c r="C74" s="1436"/>
      <c r="D74" s="1436"/>
      <c r="E74" s="1436"/>
      <c r="F74" s="1436"/>
      <c r="G74" s="1436"/>
      <c r="H74" s="1436"/>
      <c r="I74" s="29">
        <f>príjmy!L81</f>
        <v>10000</v>
      </c>
    </row>
    <row r="75" spans="1:9" ht="15">
      <c r="A75" s="1437" t="s">
        <v>78</v>
      </c>
      <c r="B75" s="1438" t="s">
        <v>82</v>
      </c>
      <c r="C75" s="1439"/>
      <c r="D75" s="1439"/>
      <c r="E75" s="1439"/>
      <c r="F75" s="1439"/>
      <c r="G75" s="1439"/>
      <c r="H75" s="1440"/>
      <c r="I75" s="1441">
        <f>príjmy!L83</f>
        <v>14000</v>
      </c>
    </row>
    <row r="76" spans="1:9" ht="15">
      <c r="A76" s="4"/>
      <c r="B76" s="5"/>
      <c r="C76" s="5"/>
      <c r="D76" s="5"/>
      <c r="E76" s="5"/>
      <c r="F76" s="5"/>
      <c r="G76" s="5"/>
      <c r="H76" s="5"/>
      <c r="I76" s="36"/>
    </row>
    <row r="77" spans="1:9" ht="15.75">
      <c r="A77" s="1445" t="s">
        <v>83</v>
      </c>
      <c r="B77" s="1445"/>
      <c r="C77" s="1445"/>
      <c r="D77" s="1445"/>
      <c r="E77" s="1445"/>
      <c r="F77" s="1445"/>
      <c r="G77" s="1445"/>
      <c r="H77" s="1445"/>
      <c r="I77" s="3">
        <f>SUM(I79,I84)</f>
        <v>738000</v>
      </c>
    </row>
    <row r="78" spans="1:9" ht="15">
      <c r="A78" s="4"/>
      <c r="B78" s="5"/>
      <c r="C78" s="5"/>
      <c r="D78" s="5"/>
      <c r="E78" s="5"/>
      <c r="F78" s="5"/>
      <c r="G78" s="5"/>
      <c r="H78" s="5"/>
      <c r="I78" s="37"/>
    </row>
    <row r="79" spans="1:9" ht="15.75">
      <c r="A79" s="1446" t="s">
        <v>84</v>
      </c>
      <c r="B79" s="1446"/>
      <c r="C79" s="1446"/>
      <c r="D79" s="1446"/>
      <c r="E79" s="1446"/>
      <c r="F79" s="1446"/>
      <c r="G79" s="1446"/>
      <c r="H79" s="1446"/>
      <c r="I79" s="19">
        <f>I81</f>
        <v>10000</v>
      </c>
    </row>
    <row r="80" ht="12.75">
      <c r="I80" s="20"/>
    </row>
    <row r="81" spans="1:9" ht="12.75">
      <c r="A81" s="30" t="s">
        <v>3</v>
      </c>
      <c r="B81" s="31" t="s">
        <v>85</v>
      </c>
      <c r="C81" s="31"/>
      <c r="D81" s="31"/>
      <c r="E81" s="31"/>
      <c r="F81" s="31"/>
      <c r="G81" s="31"/>
      <c r="H81" s="31"/>
      <c r="I81" s="32">
        <f>príjmy!L103</f>
        <v>10000</v>
      </c>
    </row>
    <row r="82" spans="1:9" ht="12.75">
      <c r="A82" s="38"/>
      <c r="B82" s="39"/>
      <c r="C82" s="39"/>
      <c r="D82" s="39"/>
      <c r="E82" s="39"/>
      <c r="F82" s="39"/>
      <c r="G82" s="39"/>
      <c r="H82" s="39"/>
      <c r="I82" s="40"/>
    </row>
    <row r="83" spans="1:9" ht="12.75">
      <c r="A83" s="38"/>
      <c r="B83" s="39"/>
      <c r="C83" s="39"/>
      <c r="D83" s="39"/>
      <c r="E83" s="39"/>
      <c r="F83" s="39"/>
      <c r="G83" s="39"/>
      <c r="H83" s="39"/>
      <c r="I83" s="40"/>
    </row>
    <row r="84" spans="1:9" ht="15">
      <c r="A84" s="1446" t="s">
        <v>86</v>
      </c>
      <c r="B84" s="1446"/>
      <c r="C84" s="1446"/>
      <c r="D84" s="1446"/>
      <c r="E84" s="1446"/>
      <c r="F84" s="1446"/>
      <c r="G84" s="1446"/>
      <c r="H84" s="1446"/>
      <c r="I84" s="41">
        <f>SUM(I86,I87,I88,I89,I90,I91,I92)</f>
        <v>728000</v>
      </c>
    </row>
    <row r="85" spans="1:9" ht="12.75">
      <c r="A85" s="38"/>
      <c r="B85" s="39"/>
      <c r="C85" s="39"/>
      <c r="D85" s="39"/>
      <c r="E85" s="39"/>
      <c r="F85" s="39"/>
      <c r="G85" s="39"/>
      <c r="H85" s="39"/>
      <c r="I85" s="40"/>
    </row>
    <row r="86" spans="1:9" ht="12.75">
      <c r="A86" s="30" t="s">
        <v>25</v>
      </c>
      <c r="B86" s="31" t="s">
        <v>87</v>
      </c>
      <c r="C86" s="31"/>
      <c r="D86" s="31"/>
      <c r="E86" s="31"/>
      <c r="F86" s="31"/>
      <c r="G86" s="31"/>
      <c r="H86" s="31"/>
      <c r="I86" s="32">
        <f>príjmy!L109</f>
        <v>0</v>
      </c>
    </row>
    <row r="87" spans="1:9" ht="12.75">
      <c r="A87" s="30" t="s">
        <v>28</v>
      </c>
      <c r="B87" s="31" t="s">
        <v>88</v>
      </c>
      <c r="C87" s="31"/>
      <c r="D87" s="31"/>
      <c r="E87" s="31"/>
      <c r="F87" s="31"/>
      <c r="G87" s="31"/>
      <c r="H87" s="31"/>
      <c r="I87" s="32">
        <f>príjmy!L110</f>
        <v>0</v>
      </c>
    </row>
    <row r="88" spans="1:9" ht="12.75">
      <c r="A88" s="30" t="s">
        <v>31</v>
      </c>
      <c r="B88" s="31" t="s">
        <v>89</v>
      </c>
      <c r="C88" s="31"/>
      <c r="D88" s="31"/>
      <c r="E88" s="31"/>
      <c r="F88" s="31"/>
      <c r="G88" s="31"/>
      <c r="H88" s="31"/>
      <c r="I88" s="32">
        <f>príjmy!L111</f>
        <v>85000</v>
      </c>
    </row>
    <row r="89" spans="1:9" ht="12.75">
      <c r="A89" s="30" t="s">
        <v>34</v>
      </c>
      <c r="B89" s="31" t="s">
        <v>90</v>
      </c>
      <c r="C89" s="31"/>
      <c r="D89" s="31"/>
      <c r="E89" s="31"/>
      <c r="F89" s="31"/>
      <c r="G89" s="31"/>
      <c r="H89" s="31"/>
      <c r="I89" s="32">
        <f>príjmy!L115</f>
        <v>3000</v>
      </c>
    </row>
    <row r="90" spans="1:9" ht="12.75">
      <c r="A90" s="30" t="s">
        <v>37</v>
      </c>
      <c r="B90" s="31" t="s">
        <v>91</v>
      </c>
      <c r="C90" s="31"/>
      <c r="D90" s="31"/>
      <c r="E90" s="31"/>
      <c r="F90" s="31"/>
      <c r="G90" s="31"/>
      <c r="H90" s="31"/>
      <c r="I90" s="32">
        <f>príjmy!L113</f>
        <v>0</v>
      </c>
    </row>
    <row r="91" spans="1:9" ht="12.75">
      <c r="A91" s="30" t="s">
        <v>40</v>
      </c>
      <c r="B91" s="31" t="s">
        <v>92</v>
      </c>
      <c r="C91" s="31"/>
      <c r="D91" s="31"/>
      <c r="E91" s="31"/>
      <c r="F91" s="31"/>
      <c r="G91" s="31"/>
      <c r="H91" s="31"/>
      <c r="I91" s="32">
        <f>príjmy!L116</f>
        <v>450000</v>
      </c>
    </row>
    <row r="92" spans="1:9" ht="12.75">
      <c r="A92" s="30" t="s">
        <v>42</v>
      </c>
      <c r="B92" s="31" t="s">
        <v>93</v>
      </c>
      <c r="C92" s="31"/>
      <c r="D92" s="31"/>
      <c r="E92" s="31"/>
      <c r="F92" s="31"/>
      <c r="G92" s="31"/>
      <c r="H92" s="31"/>
      <c r="I92" s="32">
        <f>príjmy!L118</f>
        <v>190000</v>
      </c>
    </row>
    <row r="93" spans="1:9" ht="12.75">
      <c r="A93" s="38"/>
      <c r="B93" s="39"/>
      <c r="C93" s="39"/>
      <c r="D93" s="39"/>
      <c r="E93" s="39"/>
      <c r="F93" s="39"/>
      <c r="G93" s="39"/>
      <c r="H93" s="39"/>
      <c r="I93" s="40"/>
    </row>
    <row r="94" spans="1:9" ht="12.75">
      <c r="A94" s="38"/>
      <c r="B94" s="39"/>
      <c r="C94" s="39"/>
      <c r="D94" s="39"/>
      <c r="E94" s="39"/>
      <c r="F94" s="39"/>
      <c r="G94" s="39"/>
      <c r="H94" s="39"/>
      <c r="I94" s="40"/>
    </row>
    <row r="95" spans="1:9" ht="15">
      <c r="A95" s="1445" t="s">
        <v>94</v>
      </c>
      <c r="B95" s="1445"/>
      <c r="C95" s="1445"/>
      <c r="D95" s="1445"/>
      <c r="E95" s="1445"/>
      <c r="F95" s="1445"/>
      <c r="G95" s="1445"/>
      <c r="H95" s="1445"/>
      <c r="I95" s="42">
        <f>I97</f>
        <v>0</v>
      </c>
    </row>
    <row r="96" spans="1:9" ht="12.75">
      <c r="A96" s="38"/>
      <c r="B96" s="39"/>
      <c r="C96" s="39"/>
      <c r="D96" s="39"/>
      <c r="E96" s="39"/>
      <c r="F96" s="39"/>
      <c r="G96" s="39"/>
      <c r="H96" s="39"/>
      <c r="I96" s="40"/>
    </row>
    <row r="97" spans="1:9" ht="12.75">
      <c r="A97" s="30" t="s">
        <v>3</v>
      </c>
      <c r="B97" s="31" t="s">
        <v>95</v>
      </c>
      <c r="C97" s="31"/>
      <c r="D97" s="31"/>
      <c r="E97" s="31"/>
      <c r="F97" s="31"/>
      <c r="G97" s="31"/>
      <c r="H97" s="31"/>
      <c r="I97" s="32">
        <f>príjmy!L145</f>
        <v>0</v>
      </c>
    </row>
    <row r="98" spans="1:9" ht="12.75">
      <c r="A98" s="38"/>
      <c r="B98" s="39"/>
      <c r="C98" s="39"/>
      <c r="D98" s="39"/>
      <c r="E98" s="39"/>
      <c r="F98" s="39"/>
      <c r="G98" s="39"/>
      <c r="H98" s="39"/>
      <c r="I98" s="40"/>
    </row>
    <row r="99" spans="1:9" ht="12.75">
      <c r="A99" s="38"/>
      <c r="B99" s="39"/>
      <c r="C99" s="39"/>
      <c r="D99" s="39"/>
      <c r="E99" s="39"/>
      <c r="F99" s="39"/>
      <c r="G99" s="39"/>
      <c r="H99" s="39"/>
      <c r="I99" s="40"/>
    </row>
    <row r="100" spans="1:9" ht="15">
      <c r="A100" s="43"/>
      <c r="B100" s="43"/>
      <c r="C100" s="1456" t="s">
        <v>96</v>
      </c>
      <c r="D100" s="1456"/>
      <c r="E100" s="1456"/>
      <c r="F100" s="1456"/>
      <c r="G100" s="1456"/>
      <c r="H100" s="1456"/>
      <c r="I100" s="44"/>
    </row>
    <row r="101" spans="1:9" ht="12.75">
      <c r="A101" s="38"/>
      <c r="B101" s="39"/>
      <c r="C101" s="39"/>
      <c r="D101" s="39"/>
      <c r="E101" s="39"/>
      <c r="F101" s="39"/>
      <c r="G101" s="39"/>
      <c r="H101" s="39"/>
      <c r="I101" s="40"/>
    </row>
    <row r="102" spans="1:9" ht="12.75">
      <c r="A102" s="45"/>
      <c r="B102" s="39"/>
      <c r="C102" s="39"/>
      <c r="D102" s="39"/>
      <c r="E102" s="39"/>
      <c r="F102" s="39"/>
      <c r="G102" s="39"/>
      <c r="H102" s="39"/>
      <c r="I102" s="40"/>
    </row>
    <row r="103" spans="1:9" ht="15">
      <c r="A103" s="45"/>
      <c r="B103" s="39"/>
      <c r="C103" s="1457" t="s">
        <v>1</v>
      </c>
      <c r="D103" s="1457"/>
      <c r="E103" s="1457"/>
      <c r="F103" s="1457"/>
      <c r="G103" s="1458">
        <f>I3</f>
        <v>1518953</v>
      </c>
      <c r="H103" s="1458"/>
      <c r="I103" s="40"/>
    </row>
    <row r="104" spans="1:9" ht="15">
      <c r="A104" s="45"/>
      <c r="B104" s="39"/>
      <c r="C104" s="1457" t="s">
        <v>83</v>
      </c>
      <c r="D104" s="1457"/>
      <c r="E104" s="1457"/>
      <c r="F104" s="1457"/>
      <c r="G104" s="1458">
        <f>I77</f>
        <v>738000</v>
      </c>
      <c r="H104" s="1458"/>
      <c r="I104" s="40"/>
    </row>
    <row r="105" spans="1:9" ht="15">
      <c r="A105" s="45"/>
      <c r="B105" s="39"/>
      <c r="C105" s="1457" t="s">
        <v>94</v>
      </c>
      <c r="D105" s="1457"/>
      <c r="E105" s="1457"/>
      <c r="F105" s="1457"/>
      <c r="G105" s="1459">
        <f>I95</f>
        <v>0</v>
      </c>
      <c r="H105" s="1459"/>
      <c r="I105" s="40"/>
    </row>
    <row r="106" spans="1:9" ht="15">
      <c r="A106" s="45"/>
      <c r="B106" s="39"/>
      <c r="C106" s="1457" t="s">
        <v>97</v>
      </c>
      <c r="D106" s="1457"/>
      <c r="E106" s="1457"/>
      <c r="F106" s="1457"/>
      <c r="G106" s="1459">
        <v>0</v>
      </c>
      <c r="H106" s="1459"/>
      <c r="I106" s="40"/>
    </row>
    <row r="107" spans="1:9" ht="15">
      <c r="A107" s="45"/>
      <c r="B107" s="39"/>
      <c r="C107" s="1460" t="s">
        <v>98</v>
      </c>
      <c r="D107" s="1460"/>
      <c r="E107" s="1460"/>
      <c r="F107" s="1460"/>
      <c r="G107" s="1461">
        <f>SUM(G103,G104,G105,G106)</f>
        <v>2256953</v>
      </c>
      <c r="H107" s="1461"/>
      <c r="I107" s="40"/>
    </row>
    <row r="108" spans="1:9" ht="12.75">
      <c r="A108" s="45"/>
      <c r="B108" s="39"/>
      <c r="C108" s="39"/>
      <c r="D108" s="39"/>
      <c r="E108" s="39"/>
      <c r="F108" s="39"/>
      <c r="G108" s="39"/>
      <c r="H108" s="39"/>
      <c r="I108" s="46"/>
    </row>
    <row r="109" spans="1:9" ht="12.75">
      <c r="A109" s="45"/>
      <c r="B109" s="39"/>
      <c r="C109" s="39"/>
      <c r="D109" s="39"/>
      <c r="E109" s="39"/>
      <c r="F109" s="39"/>
      <c r="G109" s="39"/>
      <c r="H109" s="39"/>
      <c r="I109" s="46"/>
    </row>
  </sheetData>
  <mergeCells count="53">
    <mergeCell ref="C106:F106"/>
    <mergeCell ref="G106:H106"/>
    <mergeCell ref="C107:F107"/>
    <mergeCell ref="G107:H107"/>
    <mergeCell ref="C104:F104"/>
    <mergeCell ref="G104:H104"/>
    <mergeCell ref="C105:F105"/>
    <mergeCell ref="G105:H105"/>
    <mergeCell ref="A84:H84"/>
    <mergeCell ref="A95:H95"/>
    <mergeCell ref="C100:H100"/>
    <mergeCell ref="C103:F103"/>
    <mergeCell ref="G103:H103"/>
    <mergeCell ref="A57:H57"/>
    <mergeCell ref="A59:I59"/>
    <mergeCell ref="A77:H77"/>
    <mergeCell ref="A79:H79"/>
    <mergeCell ref="B52:H52"/>
    <mergeCell ref="A53:H53"/>
    <mergeCell ref="B54:H54"/>
    <mergeCell ref="A55:H55"/>
    <mergeCell ref="B48:H48"/>
    <mergeCell ref="B49:H49"/>
    <mergeCell ref="B50:H50"/>
    <mergeCell ref="A51:H51"/>
    <mergeCell ref="B44:H44"/>
    <mergeCell ref="A45:H45"/>
    <mergeCell ref="B46:H46"/>
    <mergeCell ref="A47:H47"/>
    <mergeCell ref="B40:H40"/>
    <mergeCell ref="A41:H41"/>
    <mergeCell ref="B42:H42"/>
    <mergeCell ref="A43:H43"/>
    <mergeCell ref="B36:H36"/>
    <mergeCell ref="A37:H37"/>
    <mergeCell ref="B38:H38"/>
    <mergeCell ref="A39:H39"/>
    <mergeCell ref="A20:H20"/>
    <mergeCell ref="A32:H32"/>
    <mergeCell ref="B34:H34"/>
    <mergeCell ref="A35:H35"/>
    <mergeCell ref="B15:H15"/>
    <mergeCell ref="A16:H16"/>
    <mergeCell ref="B17:H17"/>
    <mergeCell ref="A18:H18"/>
    <mergeCell ref="A10:H10"/>
    <mergeCell ref="A12:H12"/>
    <mergeCell ref="B13:H13"/>
    <mergeCell ref="A14:H14"/>
    <mergeCell ref="A1:I1"/>
    <mergeCell ref="A3:H3"/>
    <mergeCell ref="A5:H5"/>
    <mergeCell ref="A8:H8"/>
  </mergeCells>
  <printOptions horizontalCentered="1"/>
  <pageMargins left="0.7479166666666667" right="0.5513888888888889" top="0.984027777777778" bottom="0.9840277777777778" header="0.5118055555555556" footer="0.5118055555555556"/>
  <pageSetup horizontalDpi="300" verticalDpi="300" orientation="portrait" paperSize="9" r:id="rId1"/>
  <headerFooter alignWithMargins="0">
    <oddHeader>&amp;CPROGRAMOVÝ ROZPOČET OBCE TEKOVSKÉ LUŽANY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J24" sqref="J24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8" max="12" width="8.28125" style="0" customWidth="1"/>
  </cols>
  <sheetData>
    <row r="1" spans="2:12" ht="15.75">
      <c r="B1" s="415" t="s">
        <v>382</v>
      </c>
      <c r="E1" s="415" t="s">
        <v>383</v>
      </c>
      <c r="F1" s="413"/>
      <c r="G1" s="581" t="e">
        <f>G2-G7</f>
        <v>#REF!</v>
      </c>
      <c r="H1" s="581"/>
      <c r="I1" s="581"/>
      <c r="J1" s="423">
        <f>J2-J7</f>
        <v>0</v>
      </c>
      <c r="K1" s="423">
        <f>K2-K7</f>
        <v>0</v>
      </c>
      <c r="L1" s="423">
        <f>L2-L7</f>
        <v>0</v>
      </c>
    </row>
    <row r="2" spans="2:12" ht="15.75">
      <c r="B2" s="415"/>
      <c r="F2" s="581"/>
      <c r="G2" s="581" t="e">
        <f>SUM(G8:G10)</f>
        <v>#REF!</v>
      </c>
      <c r="H2" s="581"/>
      <c r="I2" s="581"/>
      <c r="J2" s="423">
        <f>SUM(J8:J10)</f>
        <v>69850</v>
      </c>
      <c r="K2" s="423">
        <f>SUM(K8:K10)</f>
        <v>67600</v>
      </c>
      <c r="L2" s="423">
        <f>SUM(L8:L10)</f>
        <v>67600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5" customHeight="1">
      <c r="A4" s="429"/>
      <c r="B4" s="430" t="s">
        <v>203</v>
      </c>
      <c r="C4" s="431" t="s">
        <v>204</v>
      </c>
      <c r="D4" s="1474" t="s">
        <v>205</v>
      </c>
      <c r="E4" s="1474"/>
      <c r="F4" s="1474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2" customHeight="1">
      <c r="A5" s="429"/>
      <c r="B5" s="430" t="s">
        <v>206</v>
      </c>
      <c r="C5" s="431" t="s">
        <v>207</v>
      </c>
      <c r="D5" s="1474"/>
      <c r="E5" s="1474"/>
      <c r="F5" s="1474"/>
      <c r="G5" s="434" t="s">
        <v>208</v>
      </c>
      <c r="H5" s="435" t="s">
        <v>210</v>
      </c>
      <c r="I5" s="435" t="s">
        <v>210</v>
      </c>
      <c r="J5" s="739" t="s">
        <v>209</v>
      </c>
      <c r="K5" s="435" t="s">
        <v>210</v>
      </c>
      <c r="L5" s="435" t="s">
        <v>210</v>
      </c>
    </row>
    <row r="6" spans="1:12" ht="12.75">
      <c r="A6" s="429"/>
      <c r="B6" s="430" t="s">
        <v>211</v>
      </c>
      <c r="C6" s="431" t="s">
        <v>212</v>
      </c>
      <c r="D6" s="1474"/>
      <c r="E6" s="1474"/>
      <c r="F6" s="1474"/>
      <c r="G6" s="437">
        <v>1</v>
      </c>
      <c r="H6" s="438">
        <v>-2</v>
      </c>
      <c r="I6" s="438">
        <v>-1</v>
      </c>
      <c r="J6" s="437">
        <v>1</v>
      </c>
      <c r="K6" s="438">
        <v>2</v>
      </c>
      <c r="L6" s="438">
        <v>3</v>
      </c>
    </row>
    <row r="7" spans="1:12" ht="15">
      <c r="A7" s="447">
        <v>1</v>
      </c>
      <c r="B7" s="441" t="s">
        <v>382</v>
      </c>
      <c r="C7" s="740"/>
      <c r="D7" s="741"/>
      <c r="E7" s="443" t="s">
        <v>383</v>
      </c>
      <c r="F7" s="742"/>
      <c r="G7" s="658" t="e">
        <f>G11+#REF!+#REF!+#REF!+#REF!+#REF!+#REF!+#REF!+#REF!</f>
        <v>#REF!</v>
      </c>
      <c r="H7" s="446">
        <f>SUM(H8:H10)</f>
        <v>58600</v>
      </c>
      <c r="I7" s="446">
        <f>SUM(I8:I10)</f>
        <v>68270</v>
      </c>
      <c r="J7" s="446">
        <f>SUM(J8:J10)</f>
        <v>69850</v>
      </c>
      <c r="K7" s="446">
        <f>SUM(K8:K10)</f>
        <v>67600</v>
      </c>
      <c r="L7" s="446">
        <f>SUM(L8:L10)</f>
        <v>67600</v>
      </c>
    </row>
    <row r="8" spans="1:12" ht="12.75">
      <c r="A8" s="447">
        <f aca="true" t="shared" si="0" ref="A8:A15">A7+1</f>
        <v>2</v>
      </c>
      <c r="B8" s="448" t="s">
        <v>214</v>
      </c>
      <c r="C8" s="449" t="s">
        <v>215</v>
      </c>
      <c r="D8" s="450"/>
      <c r="E8" s="451"/>
      <c r="F8" s="452"/>
      <c r="G8" s="596" t="e">
        <f>G12+G20+#REF!+#REF!+#REF!+#REF!+#REF!+#REF!</f>
        <v>#REF!</v>
      </c>
      <c r="H8" s="598">
        <f>SUM(H12+H20+H30+H44+H48+H52+H61+H66)</f>
        <v>58600</v>
      </c>
      <c r="I8" s="598">
        <f>SUM(I12+I20+I30+I44+I48+I52+I61+I66)</f>
        <v>68270</v>
      </c>
      <c r="J8" s="598">
        <f>SUM(J12+J20+J30+J44+J48+J52+J61+J66)</f>
        <v>69850</v>
      </c>
      <c r="K8" s="598">
        <f>SUM(K12+K20+K30+K44+K48+K52+K61+K66)</f>
        <v>67600</v>
      </c>
      <c r="L8" s="598">
        <f>SUM(L12+L20+L30+L44+L48+L52+L61+L66)</f>
        <v>67600</v>
      </c>
    </row>
    <row r="9" spans="1:12" ht="12.75">
      <c r="A9" s="447">
        <f t="shared" si="0"/>
        <v>3</v>
      </c>
      <c r="B9" s="448" t="s">
        <v>216</v>
      </c>
      <c r="C9" s="449" t="s">
        <v>217</v>
      </c>
      <c r="D9" s="450"/>
      <c r="E9" s="451"/>
      <c r="F9" s="452"/>
      <c r="G9" s="596" t="e">
        <f>G25+#REF!+#REF!+#REF!+#REF!</f>
        <v>#REF!</v>
      </c>
      <c r="H9" s="598">
        <f>SUM(H25+H41+H57)</f>
        <v>0</v>
      </c>
      <c r="I9" s="598">
        <f>SUM(I25+I41+I57)</f>
        <v>0</v>
      </c>
      <c r="J9" s="597">
        <f>SUM(J25+J41+J57)</f>
        <v>0</v>
      </c>
      <c r="K9" s="598">
        <f>SUM(K25+K41+K57)</f>
        <v>0</v>
      </c>
      <c r="L9" s="598">
        <f>SUM(L25+L41+L57)</f>
        <v>0</v>
      </c>
    </row>
    <row r="10" spans="1:12" ht="12.75">
      <c r="A10" s="447">
        <f t="shared" si="0"/>
        <v>4</v>
      </c>
      <c r="B10" s="455"/>
      <c r="C10" s="456" t="s">
        <v>218</v>
      </c>
      <c r="D10" s="457"/>
      <c r="E10" s="458"/>
      <c r="F10" s="459"/>
      <c r="G10" s="601" t="e">
        <f>#REF!+#REF!</f>
        <v>#REF!</v>
      </c>
      <c r="H10" s="598">
        <v>0</v>
      </c>
      <c r="I10" s="598">
        <v>0</v>
      </c>
      <c r="J10" s="602">
        <v>0</v>
      </c>
      <c r="K10" s="598">
        <v>0</v>
      </c>
      <c r="L10" s="598">
        <v>0</v>
      </c>
    </row>
    <row r="11" spans="1:12" ht="12.75">
      <c r="A11" s="447">
        <f t="shared" si="0"/>
        <v>5</v>
      </c>
      <c r="B11" s="462">
        <v>1</v>
      </c>
      <c r="C11" s="564" t="s">
        <v>384</v>
      </c>
      <c r="D11" s="464"/>
      <c r="E11" s="464"/>
      <c r="F11" s="465"/>
      <c r="G11" s="466" t="e">
        <f>SUM(G13)</f>
        <v>#REF!</v>
      </c>
      <c r="H11" s="467">
        <f aca="true" t="shared" si="1" ref="H11:L12">H12</f>
        <v>14900</v>
      </c>
      <c r="I11" s="467">
        <f t="shared" si="1"/>
        <v>17420</v>
      </c>
      <c r="J11" s="605">
        <f t="shared" si="1"/>
        <v>17400</v>
      </c>
      <c r="K11" s="467">
        <f t="shared" si="1"/>
        <v>17400</v>
      </c>
      <c r="L11" s="467">
        <f t="shared" si="1"/>
        <v>17400</v>
      </c>
    </row>
    <row r="12" spans="1:12" ht="12.75">
      <c r="A12" s="447">
        <f t="shared" si="0"/>
        <v>6</v>
      </c>
      <c r="B12" s="477"/>
      <c r="C12" s="478"/>
      <c r="D12" s="452" t="s">
        <v>215</v>
      </c>
      <c r="E12" s="479"/>
      <c r="F12" s="480"/>
      <c r="G12" s="481" t="e">
        <f>G13</f>
        <v>#REF!</v>
      </c>
      <c r="H12" s="482">
        <f t="shared" si="1"/>
        <v>14900</v>
      </c>
      <c r="I12" s="482">
        <f t="shared" si="1"/>
        <v>17420</v>
      </c>
      <c r="J12" s="482">
        <f t="shared" si="1"/>
        <v>17400</v>
      </c>
      <c r="K12" s="482">
        <f t="shared" si="1"/>
        <v>17400</v>
      </c>
      <c r="L12" s="482">
        <f t="shared" si="1"/>
        <v>17400</v>
      </c>
    </row>
    <row r="13" spans="1:12" ht="12.75">
      <c r="A13" s="447">
        <f t="shared" si="0"/>
        <v>7</v>
      </c>
      <c r="B13" s="477"/>
      <c r="C13" s="562" t="s">
        <v>385</v>
      </c>
      <c r="D13" s="485" t="s">
        <v>386</v>
      </c>
      <c r="E13" s="486"/>
      <c r="F13" s="487"/>
      <c r="G13" s="534" t="e">
        <f>SUM(#REF!)</f>
        <v>#REF!</v>
      </c>
      <c r="H13" s="535">
        <f>SUM(H14:H18)</f>
        <v>14900</v>
      </c>
      <c r="I13" s="535">
        <f>SUM(I14:I18)</f>
        <v>17420</v>
      </c>
      <c r="J13" s="535">
        <f>SUM(J14,J15,J16,J17,J18)</f>
        <v>17400</v>
      </c>
      <c r="K13" s="535">
        <f>SUM(K14:K18)</f>
        <v>17400</v>
      </c>
      <c r="L13" s="535">
        <f>SUM(L14:L18)</f>
        <v>17400</v>
      </c>
    </row>
    <row r="14" spans="1:12" ht="12.75">
      <c r="A14" s="447">
        <f t="shared" si="0"/>
        <v>8</v>
      </c>
      <c r="B14" s="477"/>
      <c r="C14" s="522" t="s">
        <v>230</v>
      </c>
      <c r="D14" s="536" t="s">
        <v>251</v>
      </c>
      <c r="E14" s="524" t="s">
        <v>387</v>
      </c>
      <c r="F14" s="743"/>
      <c r="G14" s="744"/>
      <c r="H14" s="539">
        <f>výdavky!D263</f>
        <v>8000</v>
      </c>
      <c r="I14" s="539">
        <f>výdavky!E263</f>
        <v>10000</v>
      </c>
      <c r="J14" s="745">
        <f>výdavky!F263</f>
        <v>10000</v>
      </c>
      <c r="K14" s="539">
        <f>výdavky!G263</f>
        <v>10000</v>
      </c>
      <c r="L14" s="539">
        <f>výdavky!H263</f>
        <v>10000</v>
      </c>
    </row>
    <row r="15" spans="1:12" ht="12.75">
      <c r="A15" s="447">
        <f t="shared" si="0"/>
        <v>9</v>
      </c>
      <c r="B15" s="477"/>
      <c r="C15" s="522" t="s">
        <v>232</v>
      </c>
      <c r="D15" s="541" t="s">
        <v>253</v>
      </c>
      <c r="E15" s="528" t="s">
        <v>388</v>
      </c>
      <c r="F15" s="746"/>
      <c r="G15" s="747"/>
      <c r="H15" s="533">
        <f>výdavky!D264</f>
        <v>300</v>
      </c>
      <c r="I15" s="533">
        <f>výdavky!E264</f>
        <v>650</v>
      </c>
      <c r="J15" s="748">
        <f>výdavky!F264</f>
        <v>500</v>
      </c>
      <c r="K15" s="533">
        <f>výdavky!G264</f>
        <v>500</v>
      </c>
      <c r="L15" s="533">
        <f>výdavky!H264</f>
        <v>500</v>
      </c>
    </row>
    <row r="16" spans="1:12" ht="12.75">
      <c r="A16" s="447">
        <v>10</v>
      </c>
      <c r="B16" s="477"/>
      <c r="C16" s="522" t="s">
        <v>234</v>
      </c>
      <c r="D16" s="536" t="s">
        <v>264</v>
      </c>
      <c r="E16" s="524" t="s">
        <v>389</v>
      </c>
      <c r="F16" s="743"/>
      <c r="G16" s="744"/>
      <c r="H16" s="539">
        <f>výdavky!D265</f>
        <v>6100</v>
      </c>
      <c r="I16" s="539">
        <f>výdavky!E265</f>
        <v>6100</v>
      </c>
      <c r="J16" s="745">
        <f>výdavky!F265</f>
        <v>6100</v>
      </c>
      <c r="K16" s="539">
        <f>výdavky!G265</f>
        <v>6100</v>
      </c>
      <c r="L16" s="539">
        <f>výdavky!H265</f>
        <v>6100</v>
      </c>
    </row>
    <row r="17" spans="1:12" ht="12.75">
      <c r="A17" s="447">
        <v>11</v>
      </c>
      <c r="B17" s="477"/>
      <c r="C17" s="522" t="s">
        <v>236</v>
      </c>
      <c r="D17" s="541" t="s">
        <v>266</v>
      </c>
      <c r="E17" s="528" t="s">
        <v>319</v>
      </c>
      <c r="F17" s="746"/>
      <c r="G17" s="747"/>
      <c r="H17" s="533">
        <f>výdavky!D266</f>
        <v>500</v>
      </c>
      <c r="I17" s="533">
        <f>výdavky!E266</f>
        <v>350</v>
      </c>
      <c r="J17" s="748">
        <f>výdavky!F266</f>
        <v>500</v>
      </c>
      <c r="K17" s="533">
        <f>výdavky!G266</f>
        <v>500</v>
      </c>
      <c r="L17" s="533">
        <f>výdavky!H266</f>
        <v>500</v>
      </c>
    </row>
    <row r="18" spans="1:12" ht="12.75">
      <c r="A18" s="447">
        <v>12</v>
      </c>
      <c r="B18" s="477"/>
      <c r="C18" s="522" t="s">
        <v>240</v>
      </c>
      <c r="D18" s="541" t="s">
        <v>268</v>
      </c>
      <c r="E18" s="528" t="s">
        <v>241</v>
      </c>
      <c r="F18" s="746"/>
      <c r="G18" s="747"/>
      <c r="H18" s="533">
        <f>výdavky!D267</f>
        <v>0</v>
      </c>
      <c r="I18" s="533">
        <f>výdavky!E267</f>
        <v>320</v>
      </c>
      <c r="J18" s="748">
        <f>výdavky!F267</f>
        <v>300</v>
      </c>
      <c r="K18" s="533">
        <f>výdavky!G267</f>
        <v>300</v>
      </c>
      <c r="L18" s="533">
        <f>výdavky!H267</f>
        <v>300</v>
      </c>
    </row>
    <row r="19" spans="1:12" ht="12.75">
      <c r="A19" s="447">
        <f aca="true" t="shared" si="2" ref="A19:A27">A18+1</f>
        <v>13</v>
      </c>
      <c r="B19" s="462">
        <v>2</v>
      </c>
      <c r="C19" s="564" t="s">
        <v>390</v>
      </c>
      <c r="D19" s="464"/>
      <c r="E19" s="464"/>
      <c r="F19" s="465"/>
      <c r="G19" s="466">
        <f>SUM(G21)</f>
        <v>580</v>
      </c>
      <c r="H19" s="468">
        <f>SUM(H20+H25)</f>
        <v>5100</v>
      </c>
      <c r="I19" s="468">
        <f>SUM(I20+I25)</f>
        <v>5850</v>
      </c>
      <c r="J19" s="605">
        <f>SUM(J20+J25)</f>
        <v>5900</v>
      </c>
      <c r="K19" s="468">
        <f>SUM(K20+K25)</f>
        <v>5900</v>
      </c>
      <c r="L19" s="468">
        <f>SUM(L20+L25)</f>
        <v>5900</v>
      </c>
    </row>
    <row r="20" spans="1:12" ht="12.75">
      <c r="A20" s="447">
        <f t="shared" si="2"/>
        <v>14</v>
      </c>
      <c r="B20" s="477"/>
      <c r="C20" s="478"/>
      <c r="D20" s="452" t="s">
        <v>215</v>
      </c>
      <c r="E20" s="479"/>
      <c r="F20" s="480"/>
      <c r="G20" s="481">
        <f aca="true" t="shared" si="3" ref="G20:L20">G21</f>
        <v>580</v>
      </c>
      <c r="H20" s="482">
        <f t="shared" si="3"/>
        <v>5100</v>
      </c>
      <c r="I20" s="482">
        <f t="shared" si="3"/>
        <v>5850</v>
      </c>
      <c r="J20" s="607">
        <f t="shared" si="3"/>
        <v>5900</v>
      </c>
      <c r="K20" s="482">
        <f t="shared" si="3"/>
        <v>5900</v>
      </c>
      <c r="L20" s="482">
        <f t="shared" si="3"/>
        <v>5900</v>
      </c>
    </row>
    <row r="21" spans="1:12" ht="12.75">
      <c r="A21" s="447">
        <f t="shared" si="2"/>
        <v>15</v>
      </c>
      <c r="B21" s="511"/>
      <c r="C21" s="562" t="s">
        <v>385</v>
      </c>
      <c r="D21" s="485" t="s">
        <v>386</v>
      </c>
      <c r="E21" s="486"/>
      <c r="F21" s="487"/>
      <c r="G21" s="521">
        <f>SUM(G22:G23)</f>
        <v>580</v>
      </c>
      <c r="H21" s="489">
        <f>SUM(H22:H24)</f>
        <v>5100</v>
      </c>
      <c r="I21" s="489">
        <f>SUM(I22:I24)</f>
        <v>5850</v>
      </c>
      <c r="J21" s="489">
        <f>SUM(J22:J24)</f>
        <v>5900</v>
      </c>
      <c r="K21" s="489">
        <f>SUM(K22:K24)</f>
        <v>5900</v>
      </c>
      <c r="L21" s="489">
        <f>SUM(L22:L24)</f>
        <v>5900</v>
      </c>
    </row>
    <row r="22" spans="1:12" ht="12.75">
      <c r="A22" s="447">
        <f t="shared" si="2"/>
        <v>16</v>
      </c>
      <c r="B22" s="511"/>
      <c r="C22" s="542" t="s">
        <v>250</v>
      </c>
      <c r="D22" s="536" t="s">
        <v>251</v>
      </c>
      <c r="E22" s="493" t="s">
        <v>391</v>
      </c>
      <c r="F22" s="537"/>
      <c r="G22" s="749">
        <f>ROUND(K22/30.126,1)</f>
        <v>169.3</v>
      </c>
      <c r="H22" s="556">
        <f>výdavky!D268</f>
        <v>5100</v>
      </c>
      <c r="I22" s="556">
        <f>výdavky!E269</f>
        <v>5100</v>
      </c>
      <c r="J22" s="636">
        <f>výdavky!F269</f>
        <v>5100</v>
      </c>
      <c r="K22" s="556">
        <f>výdavky!G269</f>
        <v>5100</v>
      </c>
      <c r="L22" s="556">
        <f>výdavky!H269</f>
        <v>5100</v>
      </c>
    </row>
    <row r="23" spans="1:12" ht="12.75">
      <c r="A23" s="447">
        <f t="shared" si="2"/>
        <v>17</v>
      </c>
      <c r="B23" s="511"/>
      <c r="C23" s="540" t="s">
        <v>250</v>
      </c>
      <c r="D23" s="541" t="s">
        <v>253</v>
      </c>
      <c r="E23" s="502" t="s">
        <v>392</v>
      </c>
      <c r="F23" s="509"/>
      <c r="G23" s="750">
        <f>397.4+13.3</f>
        <v>410.7</v>
      </c>
      <c r="H23" s="558">
        <v>0</v>
      </c>
      <c r="I23" s="558">
        <f>výdavky!E270</f>
        <v>400</v>
      </c>
      <c r="J23" s="613">
        <f>výdavky!F270</f>
        <v>400</v>
      </c>
      <c r="K23" s="558">
        <f>výdavky!G270</f>
        <v>400</v>
      </c>
      <c r="L23" s="558">
        <f>výdavky!H270</f>
        <v>400</v>
      </c>
    </row>
    <row r="24" spans="1:12" ht="12.75">
      <c r="A24" s="447">
        <f t="shared" si="2"/>
        <v>18</v>
      </c>
      <c r="B24" s="511"/>
      <c r="C24" s="540" t="s">
        <v>250</v>
      </c>
      <c r="D24" s="541" t="s">
        <v>264</v>
      </c>
      <c r="E24" s="502" t="s">
        <v>393</v>
      </c>
      <c r="F24" s="509"/>
      <c r="G24" s="750"/>
      <c r="H24" s="558">
        <v>0</v>
      </c>
      <c r="I24" s="558">
        <f>výdavky!E271</f>
        <v>350</v>
      </c>
      <c r="J24" s="613">
        <f>výdavky!F271</f>
        <v>400</v>
      </c>
      <c r="K24" s="558">
        <f>výdavky!G271</f>
        <v>400</v>
      </c>
      <c r="L24" s="558">
        <f>výdavky!H271</f>
        <v>400</v>
      </c>
    </row>
    <row r="25" spans="1:12" ht="12.75">
      <c r="A25" s="447">
        <f t="shared" si="2"/>
        <v>19</v>
      </c>
      <c r="B25" s="511"/>
      <c r="C25" s="540"/>
      <c r="D25" s="452" t="s">
        <v>217</v>
      </c>
      <c r="E25" s="508"/>
      <c r="F25" s="480"/>
      <c r="G25" s="697" t="e">
        <f aca="true" t="shared" si="4" ref="G25:L25">G26</f>
        <v>#REF!</v>
      </c>
      <c r="H25" s="669">
        <f t="shared" si="4"/>
        <v>0</v>
      </c>
      <c r="I25" s="669">
        <f t="shared" si="4"/>
        <v>0</v>
      </c>
      <c r="J25" s="751">
        <f t="shared" si="4"/>
        <v>0</v>
      </c>
      <c r="K25" s="669">
        <f t="shared" si="4"/>
        <v>0</v>
      </c>
      <c r="L25" s="669">
        <f t="shared" si="4"/>
        <v>0</v>
      </c>
    </row>
    <row r="26" spans="1:12" ht="12.75">
      <c r="A26" s="447">
        <f t="shared" si="2"/>
        <v>20</v>
      </c>
      <c r="B26" s="511"/>
      <c r="C26" s="562" t="s">
        <v>385</v>
      </c>
      <c r="D26" s="485" t="s">
        <v>386</v>
      </c>
      <c r="E26" s="486"/>
      <c r="F26" s="487"/>
      <c r="G26" s="521" t="e">
        <f>SUM(#REF!)</f>
        <v>#REF!</v>
      </c>
      <c r="H26" s="489">
        <f>SUM(H27:H27)</f>
        <v>0</v>
      </c>
      <c r="I26" s="489">
        <f>SUM(I27:I27)</f>
        <v>0</v>
      </c>
      <c r="J26" s="752">
        <f>SUM(J27:J27)</f>
        <v>0</v>
      </c>
      <c r="K26" s="489">
        <f>SUM(K27:K27)</f>
        <v>0</v>
      </c>
      <c r="L26" s="489">
        <f>SUM(L27:L27)</f>
        <v>0</v>
      </c>
    </row>
    <row r="27" spans="1:12" ht="12.75">
      <c r="A27" s="447">
        <f t="shared" si="2"/>
        <v>21</v>
      </c>
      <c r="B27" s="511"/>
      <c r="C27" s="540" t="s">
        <v>332</v>
      </c>
      <c r="D27" s="541" t="s">
        <v>266</v>
      </c>
      <c r="E27" s="498"/>
      <c r="F27" s="746"/>
      <c r="G27" s="530"/>
      <c r="H27" s="501">
        <v>0</v>
      </c>
      <c r="I27" s="501">
        <v>0</v>
      </c>
      <c r="J27" s="613">
        <v>0</v>
      </c>
      <c r="K27" s="501">
        <v>0</v>
      </c>
      <c r="L27" s="501">
        <v>0</v>
      </c>
    </row>
    <row r="28" spans="1:12" ht="12.75">
      <c r="A28" s="447">
        <v>22</v>
      </c>
      <c r="B28" s="462">
        <v>3</v>
      </c>
      <c r="C28" s="564" t="s">
        <v>394</v>
      </c>
      <c r="D28" s="464"/>
      <c r="E28" s="464"/>
      <c r="F28" s="465"/>
      <c r="G28" s="466">
        <f>G31+G62</f>
        <v>481.3</v>
      </c>
      <c r="H28" s="468">
        <f>SUM(H29,H43,H47)</f>
        <v>30100</v>
      </c>
      <c r="I28" s="468">
        <f>SUM(I29,I43,I47)</f>
        <v>39000</v>
      </c>
      <c r="J28" s="605">
        <f>SUM(J29,J43,J47)</f>
        <v>36800</v>
      </c>
      <c r="K28" s="468">
        <f>SUM(K29,K43,K47)</f>
        <v>36300</v>
      </c>
      <c r="L28" s="468">
        <f>SUM(L29,L43,L47)</f>
        <v>35800</v>
      </c>
    </row>
    <row r="29" spans="1:12" ht="12.75">
      <c r="A29" s="447">
        <f aca="true" t="shared" si="5" ref="A29:A36">A28+1</f>
        <v>23</v>
      </c>
      <c r="B29" s="511"/>
      <c r="C29" s="470" t="s">
        <v>220</v>
      </c>
      <c r="D29" s="471" t="s">
        <v>395</v>
      </c>
      <c r="E29" s="472"/>
      <c r="F29" s="473"/>
      <c r="G29" s="474">
        <f>F80</f>
        <v>0</v>
      </c>
      <c r="H29" s="475">
        <f>SUM(H30+H41)</f>
        <v>28700</v>
      </c>
      <c r="I29" s="475">
        <f>SUM(I30+I41)</f>
        <v>37050</v>
      </c>
      <c r="J29" s="753">
        <f>SUM(J30+J41)</f>
        <v>34800</v>
      </c>
      <c r="K29" s="475">
        <f>SUM(K30+K41)</f>
        <v>34300</v>
      </c>
      <c r="L29" s="475">
        <f>SUM(L30+L41)</f>
        <v>33800</v>
      </c>
    </row>
    <row r="30" spans="1:12" ht="12.75">
      <c r="A30" s="447">
        <f t="shared" si="5"/>
        <v>24</v>
      </c>
      <c r="B30" s="477"/>
      <c r="C30" s="478"/>
      <c r="D30" s="452" t="s">
        <v>215</v>
      </c>
      <c r="E30" s="479"/>
      <c r="F30" s="480"/>
      <c r="G30" s="481">
        <f>G31+G62</f>
        <v>481.3</v>
      </c>
      <c r="H30" s="482">
        <f>H31</f>
        <v>28700</v>
      </c>
      <c r="I30" s="482">
        <f>I31</f>
        <v>37050</v>
      </c>
      <c r="J30" s="607">
        <f>J31</f>
        <v>34800</v>
      </c>
      <c r="K30" s="482">
        <f>K31</f>
        <v>34300</v>
      </c>
      <c r="L30" s="482">
        <f>L31</f>
        <v>33800</v>
      </c>
    </row>
    <row r="31" spans="1:12" ht="12.75">
      <c r="A31" s="447">
        <f t="shared" si="5"/>
        <v>25</v>
      </c>
      <c r="B31" s="511"/>
      <c r="C31" s="562" t="s">
        <v>396</v>
      </c>
      <c r="D31" s="485" t="s">
        <v>395</v>
      </c>
      <c r="E31" s="486"/>
      <c r="F31" s="487"/>
      <c r="G31" s="521">
        <f>SUM(G32:G42)</f>
        <v>481.3</v>
      </c>
      <c r="H31" s="489">
        <f>SUM(H32:H40)</f>
        <v>28700</v>
      </c>
      <c r="I31" s="489">
        <f>SUM(I32:I40)</f>
        <v>37050</v>
      </c>
      <c r="J31" s="489">
        <f>SUM(J32:J40)</f>
        <v>34800</v>
      </c>
      <c r="K31" s="489">
        <f>SUM(K32:K40)</f>
        <v>34300</v>
      </c>
      <c r="L31" s="489">
        <f>SUM(L32:L40)</f>
        <v>33800</v>
      </c>
    </row>
    <row r="32" spans="1:12" ht="12.75">
      <c r="A32" s="447">
        <f t="shared" si="5"/>
        <v>26</v>
      </c>
      <c r="B32" s="754"/>
      <c r="C32" s="522" t="s">
        <v>224</v>
      </c>
      <c r="D32" s="536" t="s">
        <v>251</v>
      </c>
      <c r="E32" s="563" t="s">
        <v>397</v>
      </c>
      <c r="F32" s="537"/>
      <c r="G32" s="543">
        <f>ROUND(K32/30.126,1)</f>
        <v>481.3</v>
      </c>
      <c r="H32" s="496">
        <f>výdavky!D274</f>
        <v>14000</v>
      </c>
      <c r="I32" s="496">
        <f>výdavky!E274</f>
        <v>14000</v>
      </c>
      <c r="J32" s="636">
        <f>výdavky!F274</f>
        <v>14500</v>
      </c>
      <c r="K32" s="496">
        <f>výdavky!G274</f>
        <v>14500</v>
      </c>
      <c r="L32" s="496">
        <f>výdavky!H274</f>
        <v>14500</v>
      </c>
    </row>
    <row r="33" spans="1:12" ht="12.75">
      <c r="A33" s="447">
        <f t="shared" si="5"/>
        <v>27</v>
      </c>
      <c r="B33" s="754"/>
      <c r="C33" s="522" t="s">
        <v>226</v>
      </c>
      <c r="D33" s="541" t="s">
        <v>253</v>
      </c>
      <c r="E33" s="498" t="s">
        <v>227</v>
      </c>
      <c r="F33" s="509"/>
      <c r="G33" s="510"/>
      <c r="H33" s="501">
        <f>výdavky!D275</f>
        <v>4400</v>
      </c>
      <c r="I33" s="501">
        <f>výdavky!E275</f>
        <v>4400</v>
      </c>
      <c r="J33" s="613">
        <f>výdavky!F275</f>
        <v>4500</v>
      </c>
      <c r="K33" s="501">
        <f>výdavky!G275</f>
        <v>4500</v>
      </c>
      <c r="L33" s="501">
        <f>výdavky!H275</f>
        <v>4500</v>
      </c>
    </row>
    <row r="34" spans="1:12" ht="12.75">
      <c r="A34" s="447">
        <f t="shared" si="5"/>
        <v>28</v>
      </c>
      <c r="B34" s="754"/>
      <c r="C34" s="522" t="s">
        <v>230</v>
      </c>
      <c r="D34" s="536" t="s">
        <v>264</v>
      </c>
      <c r="E34" s="563" t="s">
        <v>387</v>
      </c>
      <c r="F34" s="537"/>
      <c r="G34" s="543"/>
      <c r="H34" s="496">
        <f>výdavky!D278</f>
        <v>7000</v>
      </c>
      <c r="I34" s="496">
        <f>výdavky!E278</f>
        <v>12500</v>
      </c>
      <c r="J34" s="636">
        <f>výdavky!F278</f>
        <v>10000</v>
      </c>
      <c r="K34" s="496">
        <f>výdavky!G278</f>
        <v>9500</v>
      </c>
      <c r="L34" s="496">
        <f>výdavky!H278</f>
        <v>9000</v>
      </c>
    </row>
    <row r="35" spans="1:12" ht="12.75">
      <c r="A35" s="447">
        <f t="shared" si="5"/>
        <v>29</v>
      </c>
      <c r="B35" s="754"/>
      <c r="C35" s="522" t="s">
        <v>232</v>
      </c>
      <c r="D35" s="541" t="s">
        <v>266</v>
      </c>
      <c r="E35" s="498" t="s">
        <v>398</v>
      </c>
      <c r="F35" s="509"/>
      <c r="G35" s="510"/>
      <c r="H35" s="501">
        <f>výdavky!D279</f>
        <v>800</v>
      </c>
      <c r="I35" s="501">
        <f>výdavky!E279+výdavky!E280</f>
        <v>1050</v>
      </c>
      <c r="J35" s="613">
        <f>výdavky!G279+výdavky!F280</f>
        <v>1000</v>
      </c>
      <c r="K35" s="501">
        <f>výdavky!G279+výdavky!G280</f>
        <v>1000</v>
      </c>
      <c r="L35" s="501">
        <f>výdavky!H279+výdavky!H280</f>
        <v>1000</v>
      </c>
    </row>
    <row r="36" spans="1:12" ht="12.75">
      <c r="A36" s="447">
        <f t="shared" si="5"/>
        <v>30</v>
      </c>
      <c r="B36" s="754"/>
      <c r="C36" s="522" t="s">
        <v>232</v>
      </c>
      <c r="D36" s="536" t="s">
        <v>268</v>
      </c>
      <c r="E36" s="563" t="s">
        <v>399</v>
      </c>
      <c r="F36" s="537"/>
      <c r="G36" s="543"/>
      <c r="H36" s="496">
        <f>výdavky!D281</f>
        <v>500</v>
      </c>
      <c r="I36" s="496">
        <f>výdavky!E281</f>
        <v>500</v>
      </c>
      <c r="J36" s="636">
        <f>výdavky!F281</f>
        <v>500</v>
      </c>
      <c r="K36" s="496">
        <f>výdavky!G281</f>
        <v>500</v>
      </c>
      <c r="L36" s="496">
        <f>výdavky!H281</f>
        <v>500</v>
      </c>
    </row>
    <row r="37" spans="1:12" ht="12.75">
      <c r="A37" s="447">
        <v>30</v>
      </c>
      <c r="B37" s="754"/>
      <c r="C37" s="522" t="s">
        <v>234</v>
      </c>
      <c r="D37" s="541" t="s">
        <v>272</v>
      </c>
      <c r="E37" s="498" t="s">
        <v>235</v>
      </c>
      <c r="F37" s="509"/>
      <c r="G37" s="510"/>
      <c r="H37" s="501">
        <f>výdavky!D283</f>
        <v>700</v>
      </c>
      <c r="I37" s="501">
        <f>výdavky!E283</f>
        <v>700</v>
      </c>
      <c r="J37" s="613">
        <f>výdavky!F283</f>
        <v>700</v>
      </c>
      <c r="K37" s="501">
        <f>výdavky!G283</f>
        <v>700</v>
      </c>
      <c r="L37" s="501">
        <f>výdavky!H283</f>
        <v>700</v>
      </c>
    </row>
    <row r="38" spans="1:12" ht="12.75">
      <c r="A38" s="447">
        <f aca="true" t="shared" si="6" ref="A38:A46">A37+1</f>
        <v>31</v>
      </c>
      <c r="B38" s="754"/>
      <c r="C38" s="522" t="s">
        <v>236</v>
      </c>
      <c r="D38" s="536" t="s">
        <v>275</v>
      </c>
      <c r="E38" s="563" t="s">
        <v>319</v>
      </c>
      <c r="F38" s="537"/>
      <c r="G38" s="543"/>
      <c r="H38" s="496">
        <f>výdavky!D285</f>
        <v>400</v>
      </c>
      <c r="I38" s="496">
        <f>výdavky!E285</f>
        <v>2500</v>
      </c>
      <c r="J38" s="636">
        <f>výdavky!F285</f>
        <v>2500</v>
      </c>
      <c r="K38" s="496">
        <f>výdavky!G285</f>
        <v>2500</v>
      </c>
      <c r="L38" s="496">
        <f>výdavky!H285</f>
        <v>2500</v>
      </c>
    </row>
    <row r="39" spans="1:12" ht="12.75">
      <c r="A39" s="447">
        <f t="shared" si="6"/>
        <v>32</v>
      </c>
      <c r="B39" s="754"/>
      <c r="C39" s="522" t="s">
        <v>240</v>
      </c>
      <c r="D39" s="541" t="s">
        <v>305</v>
      </c>
      <c r="E39" s="498" t="s">
        <v>241</v>
      </c>
      <c r="F39" s="509"/>
      <c r="G39" s="510"/>
      <c r="H39" s="501">
        <f>výdavky!D288</f>
        <v>900</v>
      </c>
      <c r="I39" s="501">
        <f>výdavky!E288+výdavky!E287</f>
        <v>1400</v>
      </c>
      <c r="J39" s="613">
        <f>výdavky!F288+výdavky!F287</f>
        <v>1100</v>
      </c>
      <c r="K39" s="501">
        <f>výdavky!G288+výdavky!G287</f>
        <v>1100</v>
      </c>
      <c r="L39" s="501">
        <f>výdavky!H288+výdavky!H287</f>
        <v>1100</v>
      </c>
    </row>
    <row r="40" spans="1:12" ht="12.75">
      <c r="A40" s="447">
        <f t="shared" si="6"/>
        <v>33</v>
      </c>
      <c r="B40" s="754"/>
      <c r="C40" s="522" t="s">
        <v>250</v>
      </c>
      <c r="D40" s="541" t="s">
        <v>307</v>
      </c>
      <c r="E40" s="498" t="s">
        <v>343</v>
      </c>
      <c r="F40" s="509"/>
      <c r="G40" s="510"/>
      <c r="H40" s="501">
        <f>výdavky!D290</f>
        <v>0</v>
      </c>
      <c r="I40" s="501">
        <f>výdavky!E290</f>
        <v>0</v>
      </c>
      <c r="J40" s="613">
        <f>výdavky!F290</f>
        <v>0</v>
      </c>
      <c r="K40" s="501">
        <f>výdavky!G290</f>
        <v>0</v>
      </c>
      <c r="L40" s="501">
        <f>výdavky!H290</f>
        <v>0</v>
      </c>
    </row>
    <row r="41" spans="1:12" ht="12.75">
      <c r="A41" s="447">
        <f t="shared" si="6"/>
        <v>34</v>
      </c>
      <c r="B41" s="516"/>
      <c r="C41" s="540"/>
      <c r="D41" s="452" t="s">
        <v>217</v>
      </c>
      <c r="E41" s="508"/>
      <c r="F41" s="480"/>
      <c r="G41" s="697">
        <f aca="true" t="shared" si="7" ref="G41:L41">G42</f>
        <v>0</v>
      </c>
      <c r="H41" s="669">
        <f t="shared" si="7"/>
        <v>0</v>
      </c>
      <c r="I41" s="669">
        <f t="shared" si="7"/>
        <v>0</v>
      </c>
      <c r="J41" s="751">
        <f t="shared" si="7"/>
        <v>0</v>
      </c>
      <c r="K41" s="669">
        <f t="shared" si="7"/>
        <v>0</v>
      </c>
      <c r="L41" s="669">
        <f t="shared" si="7"/>
        <v>0</v>
      </c>
    </row>
    <row r="42" spans="1:12" ht="12.75">
      <c r="A42" s="447">
        <f t="shared" si="6"/>
        <v>35</v>
      </c>
      <c r="B42" s="511"/>
      <c r="C42" s="542" t="s">
        <v>332</v>
      </c>
      <c r="D42" s="541" t="s">
        <v>309</v>
      </c>
      <c r="E42" s="637"/>
      <c r="F42" s="509"/>
      <c r="G42" s="510">
        <f>ROUND(K42/30.126,1)</f>
        <v>0</v>
      </c>
      <c r="H42" s="501">
        <v>0</v>
      </c>
      <c r="I42" s="501">
        <v>0</v>
      </c>
      <c r="J42" s="613">
        <v>0</v>
      </c>
      <c r="K42" s="501">
        <v>0</v>
      </c>
      <c r="L42" s="501">
        <v>0</v>
      </c>
    </row>
    <row r="43" spans="1:12" ht="12.75">
      <c r="A43" s="447">
        <f t="shared" si="6"/>
        <v>36</v>
      </c>
      <c r="B43" s="511"/>
      <c r="C43" s="470" t="s">
        <v>244</v>
      </c>
      <c r="D43" s="471" t="s">
        <v>400</v>
      </c>
      <c r="E43" s="472"/>
      <c r="F43" s="473"/>
      <c r="G43" s="474">
        <f>F92</f>
        <v>0</v>
      </c>
      <c r="H43" s="475">
        <f aca="true" t="shared" si="8" ref="H43:L45">H44</f>
        <v>800</v>
      </c>
      <c r="I43" s="475">
        <f t="shared" si="8"/>
        <v>750</v>
      </c>
      <c r="J43" s="753">
        <f t="shared" si="8"/>
        <v>800</v>
      </c>
      <c r="K43" s="475">
        <f t="shared" si="8"/>
        <v>800</v>
      </c>
      <c r="L43" s="475">
        <f t="shared" si="8"/>
        <v>800</v>
      </c>
    </row>
    <row r="44" spans="1:12" ht="12.75">
      <c r="A44" s="447">
        <f t="shared" si="6"/>
        <v>37</v>
      </c>
      <c r="B44" s="477"/>
      <c r="C44" s="478"/>
      <c r="D44" s="452" t="s">
        <v>215</v>
      </c>
      <c r="E44" s="479"/>
      <c r="F44" s="480"/>
      <c r="G44" s="481">
        <f>G45+G68</f>
        <v>2408.2</v>
      </c>
      <c r="H44" s="482">
        <f t="shared" si="8"/>
        <v>800</v>
      </c>
      <c r="I44" s="482">
        <f t="shared" si="8"/>
        <v>750</v>
      </c>
      <c r="J44" s="607">
        <f t="shared" si="8"/>
        <v>800</v>
      </c>
      <c r="K44" s="482">
        <f t="shared" si="8"/>
        <v>800</v>
      </c>
      <c r="L44" s="482">
        <f t="shared" si="8"/>
        <v>800</v>
      </c>
    </row>
    <row r="45" spans="1:12" ht="12.75">
      <c r="A45" s="447">
        <f t="shared" si="6"/>
        <v>38</v>
      </c>
      <c r="B45" s="511"/>
      <c r="C45" s="562" t="s">
        <v>401</v>
      </c>
      <c r="D45" s="485" t="s">
        <v>402</v>
      </c>
      <c r="E45" s="486"/>
      <c r="F45" s="487"/>
      <c r="G45" s="521">
        <f>SUM(G46:G64)</f>
        <v>2375</v>
      </c>
      <c r="H45" s="489">
        <f t="shared" si="8"/>
        <v>800</v>
      </c>
      <c r="I45" s="489">
        <f t="shared" si="8"/>
        <v>750</v>
      </c>
      <c r="J45" s="752">
        <f t="shared" si="8"/>
        <v>800</v>
      </c>
      <c r="K45" s="489">
        <f t="shared" si="8"/>
        <v>800</v>
      </c>
      <c r="L45" s="489">
        <f t="shared" si="8"/>
        <v>800</v>
      </c>
    </row>
    <row r="46" spans="1:12" ht="12.75">
      <c r="A46" s="447">
        <f t="shared" si="6"/>
        <v>39</v>
      </c>
      <c r="B46" s="511"/>
      <c r="C46" s="542" t="s">
        <v>262</v>
      </c>
      <c r="D46" s="541" t="s">
        <v>403</v>
      </c>
      <c r="E46" s="637" t="s">
        <v>404</v>
      </c>
      <c r="F46" s="509"/>
      <c r="G46" s="510"/>
      <c r="H46" s="501">
        <f>výdavky!D293</f>
        <v>800</v>
      </c>
      <c r="I46" s="501">
        <f>výdavky!E293</f>
        <v>750</v>
      </c>
      <c r="J46" s="613">
        <f>výdavky!F293</f>
        <v>800</v>
      </c>
      <c r="K46" s="501">
        <f>výdavky!G293</f>
        <v>800</v>
      </c>
      <c r="L46" s="501">
        <f>výdavky!H293</f>
        <v>800</v>
      </c>
    </row>
    <row r="47" spans="1:12" ht="12.75">
      <c r="A47" s="447">
        <v>40</v>
      </c>
      <c r="B47" s="511"/>
      <c r="C47" s="755" t="s">
        <v>405</v>
      </c>
      <c r="D47" s="1478" t="s">
        <v>406</v>
      </c>
      <c r="E47" s="1478"/>
      <c r="F47" s="756"/>
      <c r="G47" s="757"/>
      <c r="H47" s="475">
        <f aca="true" t="shared" si="9" ref="H47:L49">SUM(H48)</f>
        <v>600</v>
      </c>
      <c r="I47" s="475">
        <f t="shared" si="9"/>
        <v>1200</v>
      </c>
      <c r="J47" s="753">
        <f t="shared" si="9"/>
        <v>1200</v>
      </c>
      <c r="K47" s="475">
        <f t="shared" si="9"/>
        <v>1200</v>
      </c>
      <c r="L47" s="475">
        <f t="shared" si="9"/>
        <v>1200</v>
      </c>
    </row>
    <row r="48" spans="1:12" ht="12.75">
      <c r="A48" s="447">
        <v>41</v>
      </c>
      <c r="B48" s="511"/>
      <c r="C48" s="540"/>
      <c r="D48" s="1479" t="s">
        <v>215</v>
      </c>
      <c r="E48" s="1479"/>
      <c r="F48" s="667"/>
      <c r="G48" s="668"/>
      <c r="H48" s="758">
        <f t="shared" si="9"/>
        <v>600</v>
      </c>
      <c r="I48" s="758">
        <f t="shared" si="9"/>
        <v>1200</v>
      </c>
      <c r="J48" s="759">
        <f t="shared" si="9"/>
        <v>1200</v>
      </c>
      <c r="K48" s="758">
        <f t="shared" si="9"/>
        <v>1200</v>
      </c>
      <c r="L48" s="758">
        <f t="shared" si="9"/>
        <v>1200</v>
      </c>
    </row>
    <row r="49" spans="1:12" s="674" customFormat="1" ht="12.75">
      <c r="A49" s="447">
        <v>42</v>
      </c>
      <c r="B49" s="760"/>
      <c r="C49" s="696" t="s">
        <v>407</v>
      </c>
      <c r="D49" s="1477" t="s">
        <v>408</v>
      </c>
      <c r="E49" s="1477"/>
      <c r="F49" s="520"/>
      <c r="G49" s="521"/>
      <c r="H49" s="489">
        <f t="shared" si="9"/>
        <v>600</v>
      </c>
      <c r="I49" s="489">
        <f t="shared" si="9"/>
        <v>1200</v>
      </c>
      <c r="J49" s="752">
        <f t="shared" si="9"/>
        <v>1200</v>
      </c>
      <c r="K49" s="489">
        <f t="shared" si="9"/>
        <v>1200</v>
      </c>
      <c r="L49" s="489">
        <f t="shared" si="9"/>
        <v>1200</v>
      </c>
    </row>
    <row r="50" spans="1:12" ht="12.75">
      <c r="A50" s="447">
        <v>43</v>
      </c>
      <c r="B50" s="511"/>
      <c r="C50" s="540" t="s">
        <v>240</v>
      </c>
      <c r="D50" s="761" t="s">
        <v>409</v>
      </c>
      <c r="E50" s="637" t="s">
        <v>410</v>
      </c>
      <c r="F50" s="509"/>
      <c r="G50" s="510"/>
      <c r="H50" s="501">
        <f>výdavky!D304</f>
        <v>600</v>
      </c>
      <c r="I50" s="501">
        <f>výdavky!E304</f>
        <v>1200</v>
      </c>
      <c r="J50" s="613">
        <f>výdavky!F304</f>
        <v>1200</v>
      </c>
      <c r="K50" s="501">
        <f>výdavky!G304</f>
        <v>1200</v>
      </c>
      <c r="L50" s="501">
        <f>výdavky!H304</f>
        <v>1200</v>
      </c>
    </row>
    <row r="51" spans="1:12" ht="12.75">
      <c r="A51" s="447">
        <v>44</v>
      </c>
      <c r="B51" s="462">
        <v>4</v>
      </c>
      <c r="C51" s="564" t="s">
        <v>411</v>
      </c>
      <c r="D51" s="464"/>
      <c r="E51" s="464"/>
      <c r="F51" s="465"/>
      <c r="G51" s="466">
        <f>SUM(G53)</f>
        <v>593.3</v>
      </c>
      <c r="H51" s="468">
        <f>SUM(H52+H57)</f>
        <v>6000</v>
      </c>
      <c r="I51" s="468">
        <f>SUM(I52+I57)</f>
        <v>4000</v>
      </c>
      <c r="J51" s="605">
        <f>SUM(J52+J57)</f>
        <v>5000</v>
      </c>
      <c r="K51" s="468">
        <f>SUM(K52+K57)</f>
        <v>5500</v>
      </c>
      <c r="L51" s="468">
        <f>SUM(L52+L57)</f>
        <v>6000</v>
      </c>
    </row>
    <row r="52" spans="1:12" ht="12.75">
      <c r="A52" s="447">
        <f>A51+1</f>
        <v>45</v>
      </c>
      <c r="B52" s="477"/>
      <c r="C52" s="478"/>
      <c r="D52" s="452" t="s">
        <v>215</v>
      </c>
      <c r="E52" s="479"/>
      <c r="F52" s="480"/>
      <c r="G52" s="481">
        <f aca="true" t="shared" si="10" ref="G52:L52">G53</f>
        <v>593.3</v>
      </c>
      <c r="H52" s="482">
        <f t="shared" si="10"/>
        <v>6000</v>
      </c>
      <c r="I52" s="482">
        <f t="shared" si="10"/>
        <v>4000</v>
      </c>
      <c r="J52" s="607">
        <f t="shared" si="10"/>
        <v>5000</v>
      </c>
      <c r="K52" s="482">
        <f t="shared" si="10"/>
        <v>5500</v>
      </c>
      <c r="L52" s="482">
        <f t="shared" si="10"/>
        <v>6000</v>
      </c>
    </row>
    <row r="53" spans="1:12" ht="12.75">
      <c r="A53" s="447">
        <f>A52+1</f>
        <v>46</v>
      </c>
      <c r="B53" s="511"/>
      <c r="C53" s="634" t="s">
        <v>396</v>
      </c>
      <c r="D53" s="485" t="s">
        <v>395</v>
      </c>
      <c r="E53" s="486"/>
      <c r="F53" s="487"/>
      <c r="G53" s="521">
        <f aca="true" t="shared" si="11" ref="G53:L53">SUM(G54:G56)</f>
        <v>593.3</v>
      </c>
      <c r="H53" s="489">
        <f t="shared" si="11"/>
        <v>6000</v>
      </c>
      <c r="I53" s="489">
        <f t="shared" si="11"/>
        <v>4000</v>
      </c>
      <c r="J53" s="489">
        <f t="shared" si="11"/>
        <v>5000</v>
      </c>
      <c r="K53" s="489">
        <f t="shared" si="11"/>
        <v>5500</v>
      </c>
      <c r="L53" s="489">
        <f t="shared" si="11"/>
        <v>6000</v>
      </c>
    </row>
    <row r="54" spans="1:12" ht="12.75">
      <c r="A54" s="447">
        <f>A53+1</f>
        <v>47</v>
      </c>
      <c r="B54" s="511"/>
      <c r="C54" s="542" t="s">
        <v>412</v>
      </c>
      <c r="D54" s="541" t="s">
        <v>251</v>
      </c>
      <c r="E54" s="502" t="s">
        <v>413</v>
      </c>
      <c r="F54" s="509"/>
      <c r="G54" s="750">
        <f>ROUND(K54/30.126,1)</f>
        <v>116.2</v>
      </c>
      <c r="H54" s="558">
        <f>výdavky!D282</f>
        <v>4000</v>
      </c>
      <c r="I54" s="558">
        <f>výdavky!E282</f>
        <v>2000</v>
      </c>
      <c r="J54" s="613">
        <f>výdavky!F282</f>
        <v>3000</v>
      </c>
      <c r="K54" s="558">
        <f>výdavky!G282</f>
        <v>3500</v>
      </c>
      <c r="L54" s="558">
        <f>výdavky!H282</f>
        <v>4000</v>
      </c>
    </row>
    <row r="55" spans="1:12" ht="12.75">
      <c r="A55" s="447">
        <f>A54+1</f>
        <v>48</v>
      </c>
      <c r="B55" s="511"/>
      <c r="C55" s="542" t="s">
        <v>412</v>
      </c>
      <c r="D55" s="541" t="s">
        <v>253</v>
      </c>
      <c r="E55" s="502" t="s">
        <v>414</v>
      </c>
      <c r="F55" s="509"/>
      <c r="G55" s="750">
        <f>ROUND(K55/30.126,1)</f>
        <v>66.4</v>
      </c>
      <c r="H55" s="558">
        <f>výdavky!D289</f>
        <v>2000</v>
      </c>
      <c r="I55" s="558">
        <f>výdavky!E289</f>
        <v>2000</v>
      </c>
      <c r="J55" s="613">
        <f>výdavky!F289</f>
        <v>2000</v>
      </c>
      <c r="K55" s="558">
        <f>výdavky!G289</f>
        <v>2000</v>
      </c>
      <c r="L55" s="558">
        <f>výdavky!H289</f>
        <v>2000</v>
      </c>
    </row>
    <row r="56" spans="1:12" ht="12.75">
      <c r="A56" s="447">
        <f>A55+1</f>
        <v>49</v>
      </c>
      <c r="B56" s="511"/>
      <c r="C56" s="540"/>
      <c r="D56" s="541"/>
      <c r="E56" s="502"/>
      <c r="F56" s="509"/>
      <c r="G56" s="750">
        <f>397.4+13.3</f>
        <v>410.7</v>
      </c>
      <c r="H56" s="558">
        <v>0</v>
      </c>
      <c r="I56" s="558">
        <v>0</v>
      </c>
      <c r="J56" s="613">
        <v>0</v>
      </c>
      <c r="K56" s="558">
        <v>0</v>
      </c>
      <c r="L56" s="558">
        <v>0</v>
      </c>
    </row>
    <row r="57" spans="1:12" ht="12.75">
      <c r="A57" s="447">
        <v>48</v>
      </c>
      <c r="B57" s="516"/>
      <c r="C57" s="540"/>
      <c r="D57" s="452" t="s">
        <v>217</v>
      </c>
      <c r="E57" s="508"/>
      <c r="F57" s="480"/>
      <c r="G57" s="697">
        <f aca="true" t="shared" si="12" ref="G57:L57">G58</f>
        <v>0</v>
      </c>
      <c r="H57" s="669">
        <f t="shared" si="12"/>
        <v>0</v>
      </c>
      <c r="I57" s="669">
        <f t="shared" si="12"/>
        <v>0</v>
      </c>
      <c r="J57" s="751">
        <f t="shared" si="12"/>
        <v>0</v>
      </c>
      <c r="K57" s="669">
        <f t="shared" si="12"/>
        <v>0</v>
      </c>
      <c r="L57" s="669">
        <f t="shared" si="12"/>
        <v>0</v>
      </c>
    </row>
    <row r="58" spans="1:12" ht="12.75">
      <c r="A58" s="447">
        <f>A57+1</f>
        <v>49</v>
      </c>
      <c r="B58" s="511"/>
      <c r="C58" s="634" t="s">
        <v>407</v>
      </c>
      <c r="D58" s="485" t="s">
        <v>408</v>
      </c>
      <c r="E58" s="486"/>
      <c r="F58" s="487"/>
      <c r="G58" s="521">
        <f aca="true" t="shared" si="13" ref="G58:L58">SUM(G59:G59)</f>
        <v>0</v>
      </c>
      <c r="H58" s="489">
        <f t="shared" si="13"/>
        <v>0</v>
      </c>
      <c r="I58" s="489">
        <f t="shared" si="13"/>
        <v>0</v>
      </c>
      <c r="J58" s="752">
        <f t="shared" si="13"/>
        <v>0</v>
      </c>
      <c r="K58" s="489">
        <f t="shared" si="13"/>
        <v>0</v>
      </c>
      <c r="L58" s="489">
        <f t="shared" si="13"/>
        <v>0</v>
      </c>
    </row>
    <row r="59" spans="1:12" ht="12.75">
      <c r="A59" s="447">
        <f>A58+1</f>
        <v>50</v>
      </c>
      <c r="B59" s="511"/>
      <c r="C59" s="542" t="s">
        <v>332</v>
      </c>
      <c r="D59" s="541" t="s">
        <v>272</v>
      </c>
      <c r="E59" s="502"/>
      <c r="F59" s="509"/>
      <c r="G59" s="510"/>
      <c r="H59" s="501">
        <v>0</v>
      </c>
      <c r="I59" s="501">
        <v>0</v>
      </c>
      <c r="J59" s="613">
        <v>0</v>
      </c>
      <c r="K59" s="501">
        <v>0</v>
      </c>
      <c r="L59" s="501">
        <v>0</v>
      </c>
    </row>
    <row r="60" spans="1:12" ht="12.75">
      <c r="A60" s="447">
        <v>51</v>
      </c>
      <c r="B60" s="462">
        <v>5</v>
      </c>
      <c r="C60" s="564" t="s">
        <v>415</v>
      </c>
      <c r="D60" s="464"/>
      <c r="E60" s="464"/>
      <c r="F60" s="465"/>
      <c r="G60" s="466">
        <f>SUM(G63)</f>
        <v>0</v>
      </c>
      <c r="H60" s="468">
        <f>H62</f>
        <v>0</v>
      </c>
      <c r="I60" s="468">
        <f>I62</f>
        <v>0</v>
      </c>
      <c r="J60" s="605">
        <f>J62</f>
        <v>2250</v>
      </c>
      <c r="K60" s="468">
        <f>K62</f>
        <v>0</v>
      </c>
      <c r="L60" s="468">
        <f>L62</f>
        <v>0</v>
      </c>
    </row>
    <row r="61" spans="1:12" ht="12.75">
      <c r="A61" s="447">
        <f aca="true" t="shared" si="14" ref="A61:A69">A60+1</f>
        <v>52</v>
      </c>
      <c r="B61" s="477"/>
      <c r="C61" s="478"/>
      <c r="D61" s="452" t="s">
        <v>215</v>
      </c>
      <c r="E61" s="479"/>
      <c r="F61" s="480"/>
      <c r="G61" s="481">
        <f aca="true" t="shared" si="15" ref="G61:L61">G62</f>
        <v>0</v>
      </c>
      <c r="H61" s="482">
        <f t="shared" si="15"/>
        <v>0</v>
      </c>
      <c r="I61" s="482">
        <f t="shared" si="15"/>
        <v>0</v>
      </c>
      <c r="J61" s="607">
        <f t="shared" si="15"/>
        <v>2250</v>
      </c>
      <c r="K61" s="482">
        <f t="shared" si="15"/>
        <v>0</v>
      </c>
      <c r="L61" s="482">
        <f t="shared" si="15"/>
        <v>0</v>
      </c>
    </row>
    <row r="62" spans="1:12" ht="12" customHeight="1">
      <c r="A62" s="447">
        <f t="shared" si="14"/>
        <v>53</v>
      </c>
      <c r="B62" s="516"/>
      <c r="C62" s="634" t="s">
        <v>416</v>
      </c>
      <c r="D62" s="485" t="s">
        <v>417</v>
      </c>
      <c r="E62" s="486"/>
      <c r="F62" s="487"/>
      <c r="G62" s="521">
        <f>SUM(G63:G63)</f>
        <v>0</v>
      </c>
      <c r="H62" s="489">
        <f>SUM(H63:H64)</f>
        <v>0</v>
      </c>
      <c r="I62" s="489">
        <f>SUM(I63:I64)</f>
        <v>0</v>
      </c>
      <c r="J62" s="489">
        <f>SUM(J63:J64)</f>
        <v>2250</v>
      </c>
      <c r="K62" s="489">
        <f>SUM(K63:K64)</f>
        <v>0</v>
      </c>
      <c r="L62" s="489">
        <f>SUM(L63:L64)</f>
        <v>0</v>
      </c>
    </row>
    <row r="63" spans="1:12" ht="12.75">
      <c r="A63" s="447">
        <f t="shared" si="14"/>
        <v>54</v>
      </c>
      <c r="B63" s="516"/>
      <c r="C63" s="542" t="s">
        <v>412</v>
      </c>
      <c r="D63" s="541" t="s">
        <v>251</v>
      </c>
      <c r="E63" s="498" t="s">
        <v>418</v>
      </c>
      <c r="F63" s="529"/>
      <c r="G63" s="510">
        <f>ROUND(K63/30.126,1)</f>
        <v>0</v>
      </c>
      <c r="H63" s="501">
        <v>0</v>
      </c>
      <c r="I63" s="501">
        <v>0</v>
      </c>
      <c r="J63" s="613">
        <v>0</v>
      </c>
      <c r="K63" s="501">
        <v>0</v>
      </c>
      <c r="L63" s="501">
        <v>0</v>
      </c>
    </row>
    <row r="64" spans="1:12" ht="12.75">
      <c r="A64" s="447">
        <f t="shared" si="14"/>
        <v>55</v>
      </c>
      <c r="B64" s="511"/>
      <c r="C64" s="542" t="s">
        <v>412</v>
      </c>
      <c r="D64" s="541" t="s">
        <v>253</v>
      </c>
      <c r="E64" s="498" t="s">
        <v>419</v>
      </c>
      <c r="F64" s="529"/>
      <c r="G64" s="510">
        <v>1.8</v>
      </c>
      <c r="H64" s="501">
        <f>výdavky!D309</f>
        <v>0</v>
      </c>
      <c r="I64" s="501">
        <f>výdavky!E309</f>
        <v>0</v>
      </c>
      <c r="J64" s="613">
        <f>výdavky!F309</f>
        <v>2250</v>
      </c>
      <c r="K64" s="501">
        <f>výdavky!G309</f>
        <v>0</v>
      </c>
      <c r="L64" s="501">
        <f>výdavky!H309</f>
        <v>0</v>
      </c>
    </row>
    <row r="65" spans="1:12" s="412" customFormat="1" ht="12.75">
      <c r="A65" s="447">
        <f t="shared" si="14"/>
        <v>56</v>
      </c>
      <c r="B65" s="559">
        <v>6</v>
      </c>
      <c r="C65" s="560" t="s">
        <v>420</v>
      </c>
      <c r="D65" s="464"/>
      <c r="E65" s="464"/>
      <c r="F65" s="465"/>
      <c r="G65" s="466">
        <f>G67+F70</f>
        <v>83</v>
      </c>
      <c r="H65" s="468">
        <f aca="true" t="shared" si="16" ref="H65:L66">H66</f>
        <v>2500</v>
      </c>
      <c r="I65" s="468">
        <f t="shared" si="16"/>
        <v>2000</v>
      </c>
      <c r="J65" s="605">
        <f t="shared" si="16"/>
        <v>2500</v>
      </c>
      <c r="K65" s="468">
        <f t="shared" si="16"/>
        <v>2500</v>
      </c>
      <c r="L65" s="468">
        <f t="shared" si="16"/>
        <v>2500</v>
      </c>
    </row>
    <row r="66" spans="1:12" ht="12.75">
      <c r="A66" s="447">
        <f t="shared" si="14"/>
        <v>57</v>
      </c>
      <c r="B66" s="561"/>
      <c r="C66" s="551"/>
      <c r="D66" s="451" t="s">
        <v>215</v>
      </c>
      <c r="E66" s="479"/>
      <c r="F66" s="480"/>
      <c r="G66" s="481">
        <f>G67+F70</f>
        <v>83</v>
      </c>
      <c r="H66" s="482">
        <f t="shared" si="16"/>
        <v>2500</v>
      </c>
      <c r="I66" s="482">
        <f t="shared" si="16"/>
        <v>2000</v>
      </c>
      <c r="J66" s="607">
        <f t="shared" si="16"/>
        <v>2500</v>
      </c>
      <c r="K66" s="482">
        <f t="shared" si="16"/>
        <v>2500</v>
      </c>
      <c r="L66" s="482">
        <f t="shared" si="16"/>
        <v>2500</v>
      </c>
    </row>
    <row r="67" spans="1:12" ht="12.75">
      <c r="A67" s="447">
        <f t="shared" si="14"/>
        <v>58</v>
      </c>
      <c r="B67" s="483"/>
      <c r="C67" s="634" t="s">
        <v>416</v>
      </c>
      <c r="D67" s="519" t="s">
        <v>417</v>
      </c>
      <c r="E67" s="486"/>
      <c r="F67" s="487"/>
      <c r="G67" s="521">
        <f aca="true" t="shared" si="17" ref="G67:L67">SUM(G68:G69)</f>
        <v>83</v>
      </c>
      <c r="H67" s="489">
        <f t="shared" si="17"/>
        <v>2500</v>
      </c>
      <c r="I67" s="489">
        <f t="shared" si="17"/>
        <v>2000</v>
      </c>
      <c r="J67" s="489">
        <f t="shared" si="17"/>
        <v>2500</v>
      </c>
      <c r="K67" s="489">
        <f t="shared" si="17"/>
        <v>2500</v>
      </c>
      <c r="L67" s="489">
        <f t="shared" si="17"/>
        <v>2500</v>
      </c>
    </row>
    <row r="68" spans="1:12" ht="12.75">
      <c r="A68" s="447">
        <f t="shared" si="14"/>
        <v>59</v>
      </c>
      <c r="B68" s="483"/>
      <c r="C68" s="542" t="s">
        <v>230</v>
      </c>
      <c r="D68" s="541" t="s">
        <v>251</v>
      </c>
      <c r="E68" s="502" t="s">
        <v>387</v>
      </c>
      <c r="F68" s="509"/>
      <c r="G68" s="510">
        <f>ROUND(K68/30.126,1)</f>
        <v>33.2</v>
      </c>
      <c r="H68" s="501">
        <f>výdavky!D307</f>
        <v>1000</v>
      </c>
      <c r="I68" s="501">
        <f>výdavky!E307</f>
        <v>1000</v>
      </c>
      <c r="J68" s="613">
        <f>výdavky!F307</f>
        <v>1000</v>
      </c>
      <c r="K68" s="501">
        <f>výdavky!G307</f>
        <v>1000</v>
      </c>
      <c r="L68" s="501">
        <f>výdavky!H307</f>
        <v>1000</v>
      </c>
    </row>
    <row r="69" spans="1:12" ht="12.75">
      <c r="A69" s="571">
        <f t="shared" si="14"/>
        <v>60</v>
      </c>
      <c r="B69" s="685"/>
      <c r="C69" s="686" t="s">
        <v>236</v>
      </c>
      <c r="D69" s="616" t="s">
        <v>253</v>
      </c>
      <c r="E69" s="687" t="s">
        <v>420</v>
      </c>
      <c r="F69" s="688"/>
      <c r="G69" s="689">
        <f>ROUND(K69/30.126,1)</f>
        <v>49.8</v>
      </c>
      <c r="H69" s="621">
        <f>výdavky!D308</f>
        <v>1500</v>
      </c>
      <c r="I69" s="621">
        <f>výdavky!E308</f>
        <v>1000</v>
      </c>
      <c r="J69" s="620">
        <f>výdavky!F308</f>
        <v>1500</v>
      </c>
      <c r="K69" s="621">
        <f>výdavky!G308</f>
        <v>1500</v>
      </c>
      <c r="L69" s="621">
        <f>výdavky!H308</f>
        <v>1500</v>
      </c>
    </row>
    <row r="70" spans="1:12" ht="12.75">
      <c r="A70" s="1"/>
      <c r="B70"/>
      <c r="D70" s="762"/>
      <c r="L70" s="763"/>
    </row>
    <row r="71" spans="1:12" ht="12.75">
      <c r="A71" s="1"/>
      <c r="B71"/>
      <c r="L71" s="763"/>
    </row>
    <row r="72" spans="1:12" ht="12.75">
      <c r="A72" s="1"/>
      <c r="B72"/>
      <c r="L72" s="763"/>
    </row>
    <row r="73" spans="1:12" ht="12.75">
      <c r="A73" s="1"/>
      <c r="B73"/>
      <c r="L73" s="763"/>
    </row>
    <row r="74" spans="1:12" ht="12.75">
      <c r="A74" s="1"/>
      <c r="B74"/>
      <c r="L74" s="763"/>
    </row>
    <row r="75" spans="1:12" ht="12.75">
      <c r="A75" s="1"/>
      <c r="B75"/>
      <c r="L75" s="763"/>
    </row>
    <row r="76" spans="1:12" ht="12.75">
      <c r="A76" s="1"/>
      <c r="B76"/>
      <c r="L76" s="763"/>
    </row>
    <row r="77" spans="1:12" ht="12.75">
      <c r="A77" s="1"/>
      <c r="B77"/>
      <c r="L77" s="763"/>
    </row>
    <row r="78" spans="1:12" ht="12.75">
      <c r="A78" s="1"/>
      <c r="B78"/>
      <c r="L78" s="763"/>
    </row>
    <row r="79" spans="1:12" ht="12.75">
      <c r="A79" s="1"/>
      <c r="B79"/>
      <c r="L79" s="763"/>
    </row>
    <row r="80" spans="1:12" ht="12.75">
      <c r="A80" s="1"/>
      <c r="B80"/>
      <c r="L80" s="763"/>
    </row>
    <row r="81" spans="1:12" ht="12.75">
      <c r="A81" s="1"/>
      <c r="B81"/>
      <c r="L81" s="763"/>
    </row>
    <row r="82" spans="1:12" ht="12.75">
      <c r="A82" s="1"/>
      <c r="B82"/>
      <c r="L82" s="763"/>
    </row>
    <row r="83" spans="1:12" ht="12.75">
      <c r="A83" s="1"/>
      <c r="B83"/>
      <c r="L83" s="763"/>
    </row>
    <row r="84" spans="1:12" ht="12.75">
      <c r="A84" s="1"/>
      <c r="B84"/>
      <c r="L84" s="763"/>
    </row>
    <row r="85" spans="1:12" ht="12.75">
      <c r="A85" s="1"/>
      <c r="B85"/>
      <c r="L85" s="763"/>
    </row>
    <row r="86" spans="1:12" ht="12.75">
      <c r="A86" s="1"/>
      <c r="B86"/>
      <c r="L86" s="763"/>
    </row>
    <row r="87" spans="1:12" ht="12.75">
      <c r="A87" s="1"/>
      <c r="B87"/>
      <c r="L87" s="763"/>
    </row>
    <row r="88" spans="1:12" ht="12.75">
      <c r="A88" s="1"/>
      <c r="B88"/>
      <c r="L88" s="763"/>
    </row>
    <row r="89" spans="1:12" ht="12.75">
      <c r="A89" s="1"/>
      <c r="B89"/>
      <c r="L89" s="763"/>
    </row>
    <row r="90" spans="1:12" ht="12.75">
      <c r="A90" s="1"/>
      <c r="B90"/>
      <c r="L90" s="763"/>
    </row>
    <row r="91" spans="1:12" ht="12.75">
      <c r="A91" s="1"/>
      <c r="B91"/>
      <c r="L91" s="763"/>
    </row>
    <row r="92" spans="1:12" ht="12.75">
      <c r="A92" s="1"/>
      <c r="B92"/>
      <c r="L92" s="763"/>
    </row>
    <row r="93" spans="1:12" ht="12.75">
      <c r="A93" s="1"/>
      <c r="B93"/>
      <c r="L93" s="763"/>
    </row>
    <row r="94" spans="1:12" ht="12.75">
      <c r="A94" s="1"/>
      <c r="B94"/>
      <c r="L94" s="763"/>
    </row>
    <row r="95" spans="1:12" ht="12.75">
      <c r="A95" s="1"/>
      <c r="B95"/>
      <c r="L95" s="763"/>
    </row>
    <row r="96" spans="1:12" ht="12.75">
      <c r="A96" s="1"/>
      <c r="B96"/>
      <c r="L96" s="763"/>
    </row>
    <row r="97" spans="1:12" ht="12.75">
      <c r="A97" s="1"/>
      <c r="B97"/>
      <c r="L97" s="763"/>
    </row>
    <row r="98" spans="1:12" ht="12.75">
      <c r="A98" s="1"/>
      <c r="B98"/>
      <c r="L98" s="763"/>
    </row>
    <row r="99" spans="1:12" ht="12.75">
      <c r="A99" s="1"/>
      <c r="B99"/>
      <c r="L99" s="763"/>
    </row>
    <row r="100" spans="1:12" ht="12.75">
      <c r="A100" s="1"/>
      <c r="B100"/>
      <c r="L100" s="763"/>
    </row>
    <row r="101" spans="1:12" ht="12.75">
      <c r="A101" s="1"/>
      <c r="B101"/>
      <c r="L101" s="763"/>
    </row>
  </sheetData>
  <mergeCells count="5">
    <mergeCell ref="D49:E49"/>
    <mergeCell ref="G3:L3"/>
    <mergeCell ref="D4:F6"/>
    <mergeCell ref="D47:E47"/>
    <mergeCell ref="D48:E48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16" sqref="J16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10" max="10" width="10.140625" style="0" customWidth="1"/>
    <col min="11" max="11" width="8.421875" style="0" customWidth="1"/>
    <col min="12" max="12" width="9.7109375" style="0" customWidth="1"/>
  </cols>
  <sheetData>
    <row r="1" spans="2:13" ht="15.75">
      <c r="B1" s="415" t="s">
        <v>421</v>
      </c>
      <c r="E1" s="415" t="s">
        <v>422</v>
      </c>
      <c r="F1" s="413"/>
      <c r="G1" s="581" t="e">
        <f>G2-G7</f>
        <v>#REF!</v>
      </c>
      <c r="H1" s="581"/>
      <c r="I1" s="581"/>
      <c r="J1" s="580">
        <f>J2-J7</f>
        <v>0</v>
      </c>
      <c r="K1" s="580">
        <f>K2-K7</f>
        <v>0</v>
      </c>
      <c r="L1" s="580">
        <f>L2-L7</f>
        <v>0</v>
      </c>
      <c r="M1" s="764"/>
    </row>
    <row r="2" spans="2:13" ht="15.75">
      <c r="B2" s="415"/>
      <c r="F2" s="413"/>
      <c r="G2" s="581" t="e">
        <f>SUM(G8:G10)</f>
        <v>#REF!</v>
      </c>
      <c r="H2" s="581"/>
      <c r="I2" s="581"/>
      <c r="J2" s="580">
        <f>SUM(J8:J10)</f>
        <v>757000</v>
      </c>
      <c r="K2" s="580">
        <f>SUM(K8:K10)</f>
        <v>871134.77</v>
      </c>
      <c r="L2" s="580">
        <f>SUM(L8:L10)</f>
        <v>745600</v>
      </c>
      <c r="M2" s="764"/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2" customHeight="1">
      <c r="A4" s="429"/>
      <c r="B4" s="430" t="s">
        <v>203</v>
      </c>
      <c r="C4" s="431" t="s">
        <v>204</v>
      </c>
      <c r="D4" s="1474" t="s">
        <v>205</v>
      </c>
      <c r="E4" s="1474"/>
      <c r="F4" s="1474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2" customHeight="1">
      <c r="A5" s="429"/>
      <c r="B5" s="430" t="s">
        <v>206</v>
      </c>
      <c r="C5" s="431" t="s">
        <v>207</v>
      </c>
      <c r="D5" s="1474"/>
      <c r="E5" s="1474"/>
      <c r="F5" s="1474"/>
      <c r="G5" s="434" t="s">
        <v>208</v>
      </c>
      <c r="H5" s="436" t="s">
        <v>210</v>
      </c>
      <c r="I5" s="436" t="s">
        <v>210</v>
      </c>
      <c r="J5" s="765" t="s">
        <v>209</v>
      </c>
      <c r="K5" s="436" t="s">
        <v>210</v>
      </c>
      <c r="L5" s="436" t="s">
        <v>210</v>
      </c>
    </row>
    <row r="6" spans="1:12" ht="12.75">
      <c r="A6" s="429"/>
      <c r="B6" s="430" t="s">
        <v>211</v>
      </c>
      <c r="C6" s="431" t="s">
        <v>212</v>
      </c>
      <c r="D6" s="1474"/>
      <c r="E6" s="1474"/>
      <c r="F6" s="1474"/>
      <c r="G6" s="437">
        <v>1</v>
      </c>
      <c r="H6" s="439">
        <v>-2</v>
      </c>
      <c r="I6" s="439">
        <v>-1</v>
      </c>
      <c r="J6" s="439">
        <v>1</v>
      </c>
      <c r="K6" s="439">
        <v>2</v>
      </c>
      <c r="L6" s="439">
        <v>3</v>
      </c>
    </row>
    <row r="7" spans="1:12" ht="15">
      <c r="A7" s="766">
        <v>1</v>
      </c>
      <c r="B7" s="767" t="s">
        <v>421</v>
      </c>
      <c r="C7" s="442"/>
      <c r="D7" s="629"/>
      <c r="E7" s="443" t="s">
        <v>422</v>
      </c>
      <c r="F7" s="630"/>
      <c r="G7" s="445" t="e">
        <f>G11+G22+G41+#REF!+#REF!+#REF!+#REF!+#REF!</f>
        <v>#REF!</v>
      </c>
      <c r="H7" s="446">
        <f>SUM(H8:H10)</f>
        <v>669089.15</v>
      </c>
      <c r="I7" s="768">
        <f>SUM(I8:I10)</f>
        <v>760720.7699999999</v>
      </c>
      <c r="J7" s="446">
        <f>SUM(J8:J10)</f>
        <v>757000</v>
      </c>
      <c r="K7" s="446">
        <f>SUM(K8:K10)</f>
        <v>871134.77</v>
      </c>
      <c r="L7" s="446">
        <f>SUM(L8:L10)</f>
        <v>745600</v>
      </c>
    </row>
    <row r="8" spans="1:12" ht="12.75">
      <c r="A8" s="769">
        <f>A7+1</f>
        <v>2</v>
      </c>
      <c r="B8" s="448" t="s">
        <v>214</v>
      </c>
      <c r="C8" s="449" t="s">
        <v>215</v>
      </c>
      <c r="D8" s="450"/>
      <c r="E8" s="451"/>
      <c r="F8" s="452"/>
      <c r="G8" s="596" t="e">
        <f>G12+#REF!+#REF!+#REF!+#REF!+#REF!+#REF!+#REF!</f>
        <v>#REF!</v>
      </c>
      <c r="H8" s="598">
        <f>SUM(H12,H23,H42)</f>
        <v>669089.15</v>
      </c>
      <c r="I8" s="598">
        <f>SUM(I12,I23,I42)</f>
        <v>760720.7699999999</v>
      </c>
      <c r="J8" s="598">
        <f>SUM(J12,J23,J42)</f>
        <v>757000</v>
      </c>
      <c r="K8" s="598">
        <f>SUM(K12,K23,K42)</f>
        <v>711300</v>
      </c>
      <c r="L8" s="598">
        <f>SUM(L12,L23,L42)</f>
        <v>745600</v>
      </c>
    </row>
    <row r="9" spans="1:12" ht="12.75">
      <c r="A9" s="769">
        <f>A8+1</f>
        <v>3</v>
      </c>
      <c r="B9" s="448" t="s">
        <v>216</v>
      </c>
      <c r="C9" s="449" t="s">
        <v>217</v>
      </c>
      <c r="D9" s="450"/>
      <c r="E9" s="451"/>
      <c r="F9" s="452"/>
      <c r="G9" s="596" t="e">
        <f>G19+#REF!+#REF!+#REF!+#REF!</f>
        <v>#REF!</v>
      </c>
      <c r="H9" s="598">
        <f>SUM(H19+H37)</f>
        <v>0</v>
      </c>
      <c r="I9" s="598">
        <f>SUM(I19+I37)</f>
        <v>0</v>
      </c>
      <c r="J9" s="598">
        <f>SUM(J19+J37)</f>
        <v>0</v>
      </c>
      <c r="K9" s="598">
        <f>SUM(K19+K37)</f>
        <v>159834.77</v>
      </c>
      <c r="L9" s="598">
        <f>SUM(L19+L37)</f>
        <v>0</v>
      </c>
    </row>
    <row r="10" spans="1:12" ht="12.75">
      <c r="A10" s="769">
        <f>A9+1</f>
        <v>4</v>
      </c>
      <c r="B10" s="455"/>
      <c r="C10" s="456" t="s">
        <v>218</v>
      </c>
      <c r="D10" s="457"/>
      <c r="E10" s="458"/>
      <c r="F10" s="459"/>
      <c r="G10" s="601">
        <v>0</v>
      </c>
      <c r="H10" s="598">
        <v>0</v>
      </c>
      <c r="I10" s="598">
        <v>0</v>
      </c>
      <c r="J10" s="602">
        <v>0</v>
      </c>
      <c r="K10" s="598">
        <v>0</v>
      </c>
      <c r="L10" s="598">
        <v>0</v>
      </c>
    </row>
    <row r="11" spans="1:12" ht="12.75">
      <c r="A11" s="769">
        <v>5</v>
      </c>
      <c r="B11" s="770">
        <v>1</v>
      </c>
      <c r="C11" s="564" t="s">
        <v>197</v>
      </c>
      <c r="D11" s="464"/>
      <c r="E11" s="464"/>
      <c r="F11" s="465"/>
      <c r="G11" s="466" t="e">
        <f>G13+G20</f>
        <v>#REF!</v>
      </c>
      <c r="H11" s="467">
        <f>SUM(H12+H19)</f>
        <v>108970</v>
      </c>
      <c r="I11" s="467">
        <f>SUM(I12+I19)</f>
        <v>126353.6</v>
      </c>
      <c r="J11" s="468">
        <f>SUM(J12+J19)</f>
        <v>121900</v>
      </c>
      <c r="K11" s="467">
        <f>SUM(K12+K19)</f>
        <v>281234.77</v>
      </c>
      <c r="L11" s="467">
        <f>SUM(L12+L19)</f>
        <v>124400</v>
      </c>
    </row>
    <row r="12" spans="1:12" ht="12.75">
      <c r="A12" s="769">
        <f aca="true" t="shared" si="0" ref="A12:A18">A11+1</f>
        <v>6</v>
      </c>
      <c r="B12" s="771"/>
      <c r="C12" s="478"/>
      <c r="D12" s="452" t="s">
        <v>215</v>
      </c>
      <c r="E12" s="479"/>
      <c r="F12" s="480"/>
      <c r="G12" s="481">
        <f aca="true" t="shared" si="1" ref="G12:L12">G13</f>
        <v>3850.5</v>
      </c>
      <c r="H12" s="482">
        <f t="shared" si="1"/>
        <v>108970</v>
      </c>
      <c r="I12" s="482">
        <f t="shared" si="1"/>
        <v>126353.6</v>
      </c>
      <c r="J12" s="482">
        <f t="shared" si="1"/>
        <v>121900</v>
      </c>
      <c r="K12" s="482">
        <f t="shared" si="1"/>
        <v>121400</v>
      </c>
      <c r="L12" s="482">
        <f t="shared" si="1"/>
        <v>124400</v>
      </c>
    </row>
    <row r="13" spans="1:12" ht="12.75">
      <c r="A13" s="769">
        <f t="shared" si="0"/>
        <v>7</v>
      </c>
      <c r="B13" s="492"/>
      <c r="C13" s="566" t="s">
        <v>423</v>
      </c>
      <c r="D13" s="485" t="s">
        <v>424</v>
      </c>
      <c r="E13" s="486"/>
      <c r="F13" s="487"/>
      <c r="G13" s="534">
        <f aca="true" t="shared" si="2" ref="G13:L13">SUM(G14:G18)</f>
        <v>3850.5</v>
      </c>
      <c r="H13" s="535">
        <f t="shared" si="2"/>
        <v>108970</v>
      </c>
      <c r="I13" s="535">
        <f t="shared" si="2"/>
        <v>126353.6</v>
      </c>
      <c r="J13" s="535">
        <f t="shared" si="2"/>
        <v>121900</v>
      </c>
      <c r="K13" s="535">
        <f t="shared" si="2"/>
        <v>121400</v>
      </c>
      <c r="L13" s="535">
        <f t="shared" si="2"/>
        <v>124400</v>
      </c>
    </row>
    <row r="14" spans="1:12" ht="12.75">
      <c r="A14" s="769">
        <f t="shared" si="0"/>
        <v>8</v>
      </c>
      <c r="B14" s="492"/>
      <c r="C14" s="522" t="s">
        <v>425</v>
      </c>
      <c r="D14" s="541" t="s">
        <v>251</v>
      </c>
      <c r="E14" s="502" t="s">
        <v>426</v>
      </c>
      <c r="F14" s="509"/>
      <c r="G14" s="510">
        <f>ROUND(K14/30.126,1)</f>
        <v>2257.2</v>
      </c>
      <c r="H14" s="501">
        <f>výdavky!D317</f>
        <v>60000</v>
      </c>
      <c r="I14" s="501">
        <f>výdavky!E317</f>
        <v>72603</v>
      </c>
      <c r="J14" s="613">
        <f>výdavky!F317</f>
        <v>67400</v>
      </c>
      <c r="K14" s="501">
        <f>výdavky!G317</f>
        <v>68000</v>
      </c>
      <c r="L14" s="501">
        <f>výdavky!H317</f>
        <v>70000</v>
      </c>
    </row>
    <row r="15" spans="1:12" ht="12.75">
      <c r="A15" s="769">
        <f t="shared" si="0"/>
        <v>9</v>
      </c>
      <c r="B15" s="492"/>
      <c r="C15" s="522" t="s">
        <v>427</v>
      </c>
      <c r="D15" s="541" t="s">
        <v>253</v>
      </c>
      <c r="E15" s="502" t="s">
        <v>404</v>
      </c>
      <c r="F15" s="509"/>
      <c r="G15" s="510">
        <f>ROUND(K15/30.126,1)</f>
        <v>1195</v>
      </c>
      <c r="H15" s="501">
        <f>výdavky!D319</f>
        <v>36370</v>
      </c>
      <c r="I15" s="501">
        <f>výdavky!E319+výdavky!E322</f>
        <v>37130</v>
      </c>
      <c r="J15" s="613">
        <f>výdavky!F319+výdavky!F322</f>
        <v>37300</v>
      </c>
      <c r="K15" s="501">
        <f>výdavky!G319</f>
        <v>36000</v>
      </c>
      <c r="L15" s="501">
        <f>výdavky!H319</f>
        <v>37000</v>
      </c>
    </row>
    <row r="16" spans="1:12" ht="12.75">
      <c r="A16" s="769">
        <f t="shared" si="0"/>
        <v>10</v>
      </c>
      <c r="B16" s="492"/>
      <c r="C16" s="522" t="s">
        <v>232</v>
      </c>
      <c r="D16" s="541" t="s">
        <v>264</v>
      </c>
      <c r="E16" s="502" t="s">
        <v>428</v>
      </c>
      <c r="F16" s="509"/>
      <c r="G16" s="510">
        <f>ROUND(K16/30.126,1)</f>
        <v>398.3</v>
      </c>
      <c r="H16" s="501">
        <f>výdavky!D323</f>
        <v>12000</v>
      </c>
      <c r="I16" s="501">
        <f>výdavky!E323</f>
        <v>11400</v>
      </c>
      <c r="J16" s="613">
        <f>výdavky!F323</f>
        <v>12000</v>
      </c>
      <c r="K16" s="501">
        <f>výdavky!G323</f>
        <v>12000</v>
      </c>
      <c r="L16" s="501">
        <f>výdavky!H323</f>
        <v>12000</v>
      </c>
    </row>
    <row r="17" spans="1:12" ht="12.75">
      <c r="A17" s="769">
        <f t="shared" si="0"/>
        <v>11</v>
      </c>
      <c r="B17" s="492"/>
      <c r="C17" s="522" t="s">
        <v>412</v>
      </c>
      <c r="D17" s="541" t="s">
        <v>266</v>
      </c>
      <c r="E17" s="772" t="s">
        <v>429</v>
      </c>
      <c r="F17" s="773"/>
      <c r="G17" s="774"/>
      <c r="H17" s="775">
        <f>výdavky!D320</f>
        <v>400</v>
      </c>
      <c r="I17" s="775">
        <f>výdavky!E320</f>
        <v>182.6</v>
      </c>
      <c r="J17" s="776">
        <f>výdavky!F320</f>
        <v>200</v>
      </c>
      <c r="K17" s="775">
        <f>výdavky!G320</f>
        <v>400</v>
      </c>
      <c r="L17" s="775">
        <f>výdavky!H320</f>
        <v>400</v>
      </c>
    </row>
    <row r="18" spans="1:12" ht="12.75">
      <c r="A18" s="769">
        <f t="shared" si="0"/>
        <v>12</v>
      </c>
      <c r="B18" s="492"/>
      <c r="C18" s="522" t="s">
        <v>412</v>
      </c>
      <c r="D18" s="541" t="s">
        <v>268</v>
      </c>
      <c r="E18" s="772" t="s">
        <v>430</v>
      </c>
      <c r="F18" s="773"/>
      <c r="G18" s="774"/>
      <c r="H18" s="775">
        <f>výdavky!D321</f>
        <v>200</v>
      </c>
      <c r="I18" s="775">
        <f>výdavky!E321</f>
        <v>5038</v>
      </c>
      <c r="J18" s="776">
        <f>výdavky!F321</f>
        <v>5000</v>
      </c>
      <c r="K18" s="775">
        <f>výdavky!G321</f>
        <v>5000</v>
      </c>
      <c r="L18" s="775">
        <f>výdavky!H321</f>
        <v>5000</v>
      </c>
    </row>
    <row r="19" spans="1:12" ht="12.75">
      <c r="A19" s="769">
        <v>13</v>
      </c>
      <c r="B19" s="492"/>
      <c r="C19" s="540"/>
      <c r="D19" s="452" t="s">
        <v>217</v>
      </c>
      <c r="E19" s="508"/>
      <c r="F19" s="480"/>
      <c r="G19" s="481" t="e">
        <f aca="true" t="shared" si="3" ref="G19:L19">G20</f>
        <v>#REF!</v>
      </c>
      <c r="H19" s="482">
        <f t="shared" si="3"/>
        <v>0</v>
      </c>
      <c r="I19" s="482">
        <f t="shared" si="3"/>
        <v>0</v>
      </c>
      <c r="J19" s="482">
        <f t="shared" si="3"/>
        <v>0</v>
      </c>
      <c r="K19" s="482">
        <f t="shared" si="3"/>
        <v>159834.77</v>
      </c>
      <c r="L19" s="482">
        <f t="shared" si="3"/>
        <v>0</v>
      </c>
    </row>
    <row r="20" spans="1:12" s="517" customFormat="1" ht="12.75">
      <c r="A20" s="769">
        <f>A19+1</f>
        <v>14</v>
      </c>
      <c r="B20" s="492"/>
      <c r="C20" s="566" t="s">
        <v>423</v>
      </c>
      <c r="D20" s="485" t="s">
        <v>424</v>
      </c>
      <c r="E20" s="486"/>
      <c r="F20" s="487"/>
      <c r="G20" s="534" t="e">
        <f>SUM(#REF!)</f>
        <v>#REF!</v>
      </c>
      <c r="H20" s="535">
        <f>SUM(H21:H21)</f>
        <v>0</v>
      </c>
      <c r="I20" s="535">
        <f>SUM(I21:I21)</f>
        <v>0</v>
      </c>
      <c r="J20" s="535">
        <f>SUM(J21:J21)</f>
        <v>0</v>
      </c>
      <c r="K20" s="535">
        <f>SUM(K21:K21)</f>
        <v>159834.77</v>
      </c>
      <c r="L20" s="535">
        <f>SUM(L21:L21)</f>
        <v>0</v>
      </c>
    </row>
    <row r="21" spans="1:12" s="517" customFormat="1" ht="12.75">
      <c r="A21" s="769">
        <f>A20+1</f>
        <v>15</v>
      </c>
      <c r="B21" s="523"/>
      <c r="C21" s="777" t="s">
        <v>332</v>
      </c>
      <c r="D21" s="541" t="s">
        <v>272</v>
      </c>
      <c r="E21" s="528" t="s">
        <v>431</v>
      </c>
      <c r="F21" s="746"/>
      <c r="G21" s="747"/>
      <c r="H21" s="533">
        <f>výdavky!D425</f>
        <v>0</v>
      </c>
      <c r="I21" s="533">
        <v>0</v>
      </c>
      <c r="J21" s="748">
        <f>výdavky!F425</f>
        <v>0</v>
      </c>
      <c r="K21" s="533">
        <f>výdavky!G425</f>
        <v>159834.77</v>
      </c>
      <c r="L21" s="533">
        <f>výdavky!H425</f>
        <v>0</v>
      </c>
    </row>
    <row r="22" spans="1:12" ht="12.75">
      <c r="A22" s="769">
        <v>16</v>
      </c>
      <c r="B22" s="770">
        <v>2</v>
      </c>
      <c r="C22" s="564" t="s">
        <v>195</v>
      </c>
      <c r="D22" s="464"/>
      <c r="E22" s="464"/>
      <c r="F22" s="465"/>
      <c r="G22" s="466" t="e">
        <f>#REF!+#REF!+#REF!+#REF!+#REF!+#REF!+#REF!+#REF!</f>
        <v>#REF!</v>
      </c>
      <c r="H22" s="468">
        <f>H23+H37</f>
        <v>498119.15</v>
      </c>
      <c r="I22" s="468">
        <f>I23+I37</f>
        <v>571435.1699999999</v>
      </c>
      <c r="J22" s="468">
        <f>J23+J37</f>
        <v>567700</v>
      </c>
      <c r="K22" s="468">
        <f>K23+K37</f>
        <v>524300</v>
      </c>
      <c r="L22" s="468">
        <f>L23+L37</f>
        <v>554300</v>
      </c>
    </row>
    <row r="23" spans="1:12" ht="12.75">
      <c r="A23" s="769">
        <f>A22+1</f>
        <v>17</v>
      </c>
      <c r="B23" s="778"/>
      <c r="C23" s="779"/>
      <c r="D23" s="451" t="s">
        <v>215</v>
      </c>
      <c r="E23" s="479"/>
      <c r="F23" s="480"/>
      <c r="G23" s="481">
        <f>G35</f>
        <v>0</v>
      </c>
      <c r="H23" s="482">
        <f>SUM(H24)</f>
        <v>498119.15</v>
      </c>
      <c r="I23" s="482">
        <f>SUM(I24)</f>
        <v>571435.1699999999</v>
      </c>
      <c r="J23" s="660">
        <f>SUM(J24)</f>
        <v>567700</v>
      </c>
      <c r="K23" s="482">
        <f>SUM(K24)</f>
        <v>524300</v>
      </c>
      <c r="L23" s="482">
        <f>SUM(L24)</f>
        <v>554300</v>
      </c>
    </row>
    <row r="24" spans="1:12" ht="12.75">
      <c r="A24" s="769"/>
      <c r="B24" s="778"/>
      <c r="C24" s="566" t="s">
        <v>432</v>
      </c>
      <c r="D24" s="485" t="s">
        <v>433</v>
      </c>
      <c r="E24" s="486"/>
      <c r="F24" s="487"/>
      <c r="G24" s="534">
        <f>G25</f>
        <v>0</v>
      </c>
      <c r="H24" s="535">
        <f>SUM(H25,H26,H27,H28,H29,H30,H31,H32,H34,H35,H36)</f>
        <v>498119.15</v>
      </c>
      <c r="I24" s="535">
        <f>SUM(I25,I26,I27,I28,I29,I30,I31,I32,I34,I35,I36)</f>
        <v>571435.1699999999</v>
      </c>
      <c r="J24" s="535">
        <f>SUM(J25,J26,J27,J28,J29,J30,J31,J32,J33,J34,J35,J36)</f>
        <v>567700</v>
      </c>
      <c r="K24" s="535">
        <f>SUM(K25,K26,K27,K28,K29,K30,K31,K32,K34,K35,K36)</f>
        <v>524300</v>
      </c>
      <c r="L24" s="535">
        <f>SUM(L25,L26,L27,L28,L29,L30,L31,L32,L34,L35,L36)</f>
        <v>554300</v>
      </c>
    </row>
    <row r="25" spans="1:12" ht="12.75">
      <c r="A25" s="769">
        <f>A23+1</f>
        <v>18</v>
      </c>
      <c r="B25" s="778"/>
      <c r="C25" s="540" t="s">
        <v>425</v>
      </c>
      <c r="D25" s="646">
        <v>1</v>
      </c>
      <c r="E25" s="780" t="s">
        <v>426</v>
      </c>
      <c r="F25" s="781"/>
      <c r="G25" s="782"/>
      <c r="H25" s="783">
        <f>výdavky!D327</f>
        <v>355559</v>
      </c>
      <c r="I25" s="783">
        <f>výdavky!E327</f>
        <v>399654</v>
      </c>
      <c r="J25" s="783">
        <f>výdavky!F327</f>
        <v>400000</v>
      </c>
      <c r="K25" s="783">
        <f>výdavky!G327</f>
        <v>420000</v>
      </c>
      <c r="L25" s="783">
        <f>výdavky!H327</f>
        <v>450000</v>
      </c>
    </row>
    <row r="26" spans="1:12" ht="12.75">
      <c r="A26" s="769"/>
      <c r="B26" s="778"/>
      <c r="C26" s="540" t="s">
        <v>427</v>
      </c>
      <c r="D26" s="646">
        <v>2</v>
      </c>
      <c r="E26" s="780" t="s">
        <v>404</v>
      </c>
      <c r="F26" s="784"/>
      <c r="G26" s="785"/>
      <c r="H26" s="783">
        <f>výdavky!D329</f>
        <v>48000</v>
      </c>
      <c r="I26" s="783">
        <f>výdavky!E329</f>
        <v>42500</v>
      </c>
      <c r="J26" s="783">
        <f>výdavky!F329</f>
        <v>45000</v>
      </c>
      <c r="K26" s="783">
        <f>výdavky!G329</f>
        <v>40000</v>
      </c>
      <c r="L26" s="783">
        <f>výdavky!H329</f>
        <v>40000</v>
      </c>
    </row>
    <row r="27" spans="1:12" ht="12.75">
      <c r="A27" s="769"/>
      <c r="B27" s="778"/>
      <c r="C27" s="540" t="s">
        <v>262</v>
      </c>
      <c r="D27" s="646">
        <v>3</v>
      </c>
      <c r="E27" s="637" t="s">
        <v>434</v>
      </c>
      <c r="F27" s="786"/>
      <c r="G27" s="787"/>
      <c r="H27" s="788">
        <f>výdavky!D330</f>
        <v>17200</v>
      </c>
      <c r="I27" s="788">
        <f>výdavky!E330</f>
        <v>11000</v>
      </c>
      <c r="J27" s="788">
        <f>výdavky!F330</f>
        <v>0</v>
      </c>
      <c r="K27" s="788">
        <f>výdavky!G330</f>
        <v>0</v>
      </c>
      <c r="L27" s="788">
        <f>výdavky!H330</f>
        <v>0</v>
      </c>
    </row>
    <row r="28" spans="1:12" ht="12.75">
      <c r="A28" s="769"/>
      <c r="B28" s="778"/>
      <c r="C28" s="540" t="s">
        <v>412</v>
      </c>
      <c r="D28" s="646">
        <v>4</v>
      </c>
      <c r="E28" s="637" t="s">
        <v>435</v>
      </c>
      <c r="F28" s="786"/>
      <c r="G28" s="787"/>
      <c r="H28" s="788">
        <f>výdavky!D331</f>
        <v>24000</v>
      </c>
      <c r="I28" s="788">
        <f>výdavky!E331</f>
        <v>34508</v>
      </c>
      <c r="J28" s="788">
        <f>výdavky!F331</f>
        <v>38000</v>
      </c>
      <c r="K28" s="788">
        <f>výdavky!G331</f>
        <v>40000</v>
      </c>
      <c r="L28" s="788">
        <f>výdavky!H331</f>
        <v>40000</v>
      </c>
    </row>
    <row r="29" spans="1:12" ht="12.75">
      <c r="A29" s="769"/>
      <c r="B29" s="778"/>
      <c r="C29" s="540" t="s">
        <v>412</v>
      </c>
      <c r="D29" s="646">
        <v>5</v>
      </c>
      <c r="E29" s="780" t="s">
        <v>436</v>
      </c>
      <c r="F29" s="784"/>
      <c r="G29" s="785"/>
      <c r="H29" s="783">
        <f>výdavky!D332</f>
        <v>21573.52</v>
      </c>
      <c r="I29" s="783">
        <f>výdavky!E332</f>
        <v>0</v>
      </c>
      <c r="J29" s="783">
        <f>výdavky!F332</f>
        <v>0</v>
      </c>
      <c r="K29" s="783">
        <f>výdavky!G332</f>
        <v>0</v>
      </c>
      <c r="L29" s="783">
        <f>výdavky!H332</f>
        <v>0</v>
      </c>
    </row>
    <row r="30" spans="1:12" ht="12.75">
      <c r="A30" s="769"/>
      <c r="B30" s="778"/>
      <c r="C30" s="540" t="s">
        <v>412</v>
      </c>
      <c r="D30" s="646">
        <v>6</v>
      </c>
      <c r="E30" s="780" t="s">
        <v>437</v>
      </c>
      <c r="F30" s="784"/>
      <c r="G30" s="785"/>
      <c r="H30" s="783">
        <f>výdavky!D334</f>
        <v>3394</v>
      </c>
      <c r="I30" s="783">
        <f>výdavky!E334</f>
        <v>3000</v>
      </c>
      <c r="J30" s="783">
        <f>výdavky!F334</f>
        <v>3500</v>
      </c>
      <c r="K30" s="783">
        <f>výdavky!G334</f>
        <v>3500</v>
      </c>
      <c r="L30" s="783">
        <f>výdavky!H334</f>
        <v>3500</v>
      </c>
    </row>
    <row r="31" spans="1:12" ht="12.75">
      <c r="A31" s="769"/>
      <c r="B31" s="778"/>
      <c r="C31" s="540" t="s">
        <v>412</v>
      </c>
      <c r="D31" s="646">
        <v>7</v>
      </c>
      <c r="E31" s="780" t="s">
        <v>438</v>
      </c>
      <c r="F31" s="784"/>
      <c r="G31" s="785"/>
      <c r="H31" s="783">
        <f>výdavky!D335</f>
        <v>8033</v>
      </c>
      <c r="I31" s="783">
        <f>výdavky!E335</f>
        <v>10967</v>
      </c>
      <c r="J31" s="783">
        <f>výdavky!F335</f>
        <v>10000</v>
      </c>
      <c r="K31" s="783">
        <f>výdavky!G335</f>
        <v>10000</v>
      </c>
      <c r="L31" s="783">
        <f>výdavky!H335</f>
        <v>10000</v>
      </c>
    </row>
    <row r="32" spans="1:12" ht="12.75">
      <c r="A32" s="769"/>
      <c r="B32" s="778"/>
      <c r="C32" s="540" t="s">
        <v>412</v>
      </c>
      <c r="D32" s="646">
        <v>8</v>
      </c>
      <c r="E32" s="780" t="s">
        <v>439</v>
      </c>
      <c r="F32" s="784"/>
      <c r="G32" s="785"/>
      <c r="H32" s="783">
        <f>výdavky!D336</f>
        <v>2800</v>
      </c>
      <c r="I32" s="783">
        <f>výdavky!E336</f>
        <v>2340.6</v>
      </c>
      <c r="J32" s="783">
        <f>výdavky!F336</f>
        <v>2800</v>
      </c>
      <c r="K32" s="783">
        <f>výdavky!G336</f>
        <v>2800</v>
      </c>
      <c r="L32" s="783">
        <f>výdavky!H336</f>
        <v>2800</v>
      </c>
    </row>
    <row r="33" spans="1:12" ht="12.75">
      <c r="A33" s="769"/>
      <c r="B33" s="778"/>
      <c r="C33" s="540" t="s">
        <v>412</v>
      </c>
      <c r="D33" s="646">
        <v>9</v>
      </c>
      <c r="E33" s="637" t="s">
        <v>739</v>
      </c>
      <c r="F33" s="1425"/>
      <c r="G33" s="787"/>
      <c r="H33" s="788"/>
      <c r="I33" s="788"/>
      <c r="J33" s="788">
        <f>SUM(výdavky!F337)</f>
        <v>400</v>
      </c>
      <c r="K33" s="788"/>
      <c r="L33" s="788"/>
    </row>
    <row r="34" spans="1:12" ht="12.75">
      <c r="A34" s="769"/>
      <c r="B34" s="778"/>
      <c r="C34" s="522" t="s">
        <v>412</v>
      </c>
      <c r="D34" s="541" t="s">
        <v>309</v>
      </c>
      <c r="E34" s="780" t="s">
        <v>440</v>
      </c>
      <c r="F34" s="773"/>
      <c r="G34" s="774"/>
      <c r="H34" s="783">
        <f>výdavky!D338</f>
        <v>7813</v>
      </c>
      <c r="I34" s="783">
        <f>výdavky!E338</f>
        <v>8138</v>
      </c>
      <c r="J34" s="783">
        <f>výdavky!F338</f>
        <v>8000</v>
      </c>
      <c r="K34" s="783">
        <f>výdavky!G338</f>
        <v>8000</v>
      </c>
      <c r="L34" s="783">
        <f>výdavky!H338</f>
        <v>8000</v>
      </c>
    </row>
    <row r="35" spans="1:12" ht="12.75">
      <c r="A35" s="769">
        <f>A25+1</f>
        <v>19</v>
      </c>
      <c r="B35" s="778"/>
      <c r="C35" s="522" t="s">
        <v>412</v>
      </c>
      <c r="D35" s="541" t="s">
        <v>403</v>
      </c>
      <c r="E35" s="780" t="s">
        <v>441</v>
      </c>
      <c r="F35" s="773"/>
      <c r="G35" s="774"/>
      <c r="H35" s="783">
        <f>výdavky!D339</f>
        <v>5756.26</v>
      </c>
      <c r="I35" s="783">
        <f>výdavky!E339</f>
        <v>41934.97</v>
      </c>
      <c r="J35" s="783">
        <f>výdavky!F339</f>
        <v>60000</v>
      </c>
      <c r="K35" s="783">
        <f>výdavky!G339</f>
        <v>0</v>
      </c>
      <c r="L35" s="783">
        <f>výdavky!H339</f>
        <v>0</v>
      </c>
    </row>
    <row r="36" spans="1:12" ht="12.75">
      <c r="A36" s="769"/>
      <c r="B36" s="778"/>
      <c r="C36" s="540" t="s">
        <v>412</v>
      </c>
      <c r="D36" s="541" t="s">
        <v>409</v>
      </c>
      <c r="E36" s="772" t="s">
        <v>442</v>
      </c>
      <c r="F36" s="789"/>
      <c r="G36" s="790"/>
      <c r="H36" s="791">
        <f>výdavky!D340</f>
        <v>3990.37</v>
      </c>
      <c r="I36" s="791">
        <f>výdavky!E340</f>
        <v>17392.6</v>
      </c>
      <c r="J36" s="791">
        <f>výdavky!F340</f>
        <v>0</v>
      </c>
      <c r="K36" s="791">
        <f>výdavky!G340</f>
        <v>0</v>
      </c>
      <c r="L36" s="791">
        <f>výdavky!H340</f>
        <v>0</v>
      </c>
    </row>
    <row r="37" spans="1:12" ht="12.75">
      <c r="A37" s="769">
        <f>A35+1</f>
        <v>20</v>
      </c>
      <c r="B37" s="492"/>
      <c r="C37" s="540"/>
      <c r="D37" s="451" t="s">
        <v>217</v>
      </c>
      <c r="E37" s="508"/>
      <c r="F37" s="480"/>
      <c r="G37" s="481">
        <f aca="true" t="shared" si="4" ref="G37:L38">G38</f>
        <v>0</v>
      </c>
      <c r="H37" s="482">
        <f t="shared" si="4"/>
        <v>0</v>
      </c>
      <c r="I37" s="482">
        <f t="shared" si="4"/>
        <v>0</v>
      </c>
      <c r="J37" s="482">
        <f t="shared" si="4"/>
        <v>0</v>
      </c>
      <c r="K37" s="482">
        <f t="shared" si="4"/>
        <v>0</v>
      </c>
      <c r="L37" s="482">
        <f t="shared" si="4"/>
        <v>0</v>
      </c>
    </row>
    <row r="38" spans="1:12" ht="12.75">
      <c r="A38" s="769">
        <f aca="true" t="shared" si="5" ref="A38:A51">A37+1</f>
        <v>21</v>
      </c>
      <c r="B38" s="492"/>
      <c r="C38" s="566" t="s">
        <v>432</v>
      </c>
      <c r="D38" s="485" t="s">
        <v>433</v>
      </c>
      <c r="E38" s="486"/>
      <c r="F38" s="487"/>
      <c r="G38" s="534">
        <f t="shared" si="4"/>
        <v>0</v>
      </c>
      <c r="H38" s="535">
        <f t="shared" si="4"/>
        <v>0</v>
      </c>
      <c r="I38" s="535">
        <f t="shared" si="4"/>
        <v>0</v>
      </c>
      <c r="J38" s="535">
        <f t="shared" si="4"/>
        <v>0</v>
      </c>
      <c r="K38" s="535">
        <f t="shared" si="4"/>
        <v>0</v>
      </c>
      <c r="L38" s="535">
        <f t="shared" si="4"/>
        <v>0</v>
      </c>
    </row>
    <row r="39" spans="1:12" ht="12.75">
      <c r="A39" s="769">
        <f t="shared" si="5"/>
        <v>22</v>
      </c>
      <c r="B39" s="523"/>
      <c r="C39" s="522" t="s">
        <v>332</v>
      </c>
      <c r="D39" s="536" t="s">
        <v>264</v>
      </c>
      <c r="E39" s="563" t="s">
        <v>91</v>
      </c>
      <c r="F39" s="792"/>
      <c r="G39" s="793"/>
      <c r="H39" s="496">
        <v>0</v>
      </c>
      <c r="I39" s="496">
        <f>výdavky!E427</f>
        <v>0</v>
      </c>
      <c r="J39" s="636">
        <f>výdavky!F427</f>
        <v>0</v>
      </c>
      <c r="K39" s="496">
        <f>výdavky!G430</f>
        <v>0</v>
      </c>
      <c r="L39" s="496">
        <f>výdavky!H427</f>
        <v>0</v>
      </c>
    </row>
    <row r="40" spans="1:12" ht="12.75">
      <c r="A40" s="769">
        <f t="shared" si="5"/>
        <v>23</v>
      </c>
      <c r="B40" s="523"/>
      <c r="C40" s="542" t="s">
        <v>332</v>
      </c>
      <c r="D40" s="541" t="s">
        <v>266</v>
      </c>
      <c r="E40" s="498"/>
      <c r="F40" s="529"/>
      <c r="G40" s="510"/>
      <c r="H40" s="501">
        <v>0</v>
      </c>
      <c r="I40" s="501">
        <v>0</v>
      </c>
      <c r="J40" s="613">
        <v>0</v>
      </c>
      <c r="K40" s="501">
        <v>0</v>
      </c>
      <c r="L40" s="501">
        <v>0</v>
      </c>
    </row>
    <row r="41" spans="1:12" ht="12.75">
      <c r="A41" s="769">
        <f t="shared" si="5"/>
        <v>24</v>
      </c>
      <c r="B41" s="770">
        <v>3</v>
      </c>
      <c r="C41" s="564" t="s">
        <v>443</v>
      </c>
      <c r="D41" s="464"/>
      <c r="E41" s="464"/>
      <c r="F41" s="465"/>
      <c r="G41" s="466" t="e">
        <f>#REF!+#REF!</f>
        <v>#REF!</v>
      </c>
      <c r="H41" s="468">
        <f aca="true" t="shared" si="6" ref="H41:L42">H42</f>
        <v>62000</v>
      </c>
      <c r="I41" s="468">
        <f t="shared" si="6"/>
        <v>62932</v>
      </c>
      <c r="J41" s="468">
        <f t="shared" si="6"/>
        <v>67400</v>
      </c>
      <c r="K41" s="468">
        <f t="shared" si="6"/>
        <v>65600</v>
      </c>
      <c r="L41" s="468">
        <f t="shared" si="6"/>
        <v>66900</v>
      </c>
    </row>
    <row r="42" spans="1:12" ht="12.75">
      <c r="A42" s="769">
        <f t="shared" si="5"/>
        <v>25</v>
      </c>
      <c r="B42" s="771"/>
      <c r="C42" s="478"/>
      <c r="D42" s="452" t="s">
        <v>215</v>
      </c>
      <c r="E42" s="479"/>
      <c r="F42" s="480"/>
      <c r="G42" s="481">
        <f>G43</f>
        <v>1085.5</v>
      </c>
      <c r="H42" s="482">
        <f t="shared" si="6"/>
        <v>62000</v>
      </c>
      <c r="I42" s="482">
        <f t="shared" si="6"/>
        <v>62932</v>
      </c>
      <c r="J42" s="482">
        <f t="shared" si="6"/>
        <v>67400</v>
      </c>
      <c r="K42" s="482">
        <f t="shared" si="6"/>
        <v>65600</v>
      </c>
      <c r="L42" s="482">
        <f t="shared" si="6"/>
        <v>66900</v>
      </c>
    </row>
    <row r="43" spans="1:12" ht="12.75">
      <c r="A43" s="769">
        <f t="shared" si="5"/>
        <v>26</v>
      </c>
      <c r="B43" s="492"/>
      <c r="C43" s="566" t="s">
        <v>444</v>
      </c>
      <c r="D43" s="485" t="s">
        <v>445</v>
      </c>
      <c r="E43" s="486"/>
      <c r="F43" s="487"/>
      <c r="G43" s="534">
        <f aca="true" t="shared" si="7" ref="G43:L43">SUM(G44:G51)</f>
        <v>1085.5</v>
      </c>
      <c r="H43" s="535">
        <f t="shared" si="7"/>
        <v>62000</v>
      </c>
      <c r="I43" s="535">
        <f t="shared" si="7"/>
        <v>62932</v>
      </c>
      <c r="J43" s="535">
        <f t="shared" si="7"/>
        <v>67400</v>
      </c>
      <c r="K43" s="535">
        <f t="shared" si="7"/>
        <v>65600</v>
      </c>
      <c r="L43" s="535">
        <f t="shared" si="7"/>
        <v>66900</v>
      </c>
    </row>
    <row r="44" spans="1:12" ht="12.75">
      <c r="A44" s="769">
        <f t="shared" si="5"/>
        <v>27</v>
      </c>
      <c r="B44" s="492"/>
      <c r="C44" s="522" t="s">
        <v>224</v>
      </c>
      <c r="D44" s="541" t="s">
        <v>251</v>
      </c>
      <c r="E44" s="502" t="s">
        <v>280</v>
      </c>
      <c r="F44" s="509"/>
      <c r="G44" s="510">
        <f>ROUND(K44/30.126,1)</f>
        <v>796.7</v>
      </c>
      <c r="H44" s="501">
        <f>výdavky!D342</f>
        <v>21400</v>
      </c>
      <c r="I44" s="501">
        <f>výdavky!E342</f>
        <v>21400</v>
      </c>
      <c r="J44" s="501">
        <f>výdavky!F342</f>
        <v>23000</v>
      </c>
      <c r="K44" s="501">
        <f>výdavky!G342</f>
        <v>24000</v>
      </c>
      <c r="L44" s="501">
        <f>výdavky!H342</f>
        <v>25000</v>
      </c>
    </row>
    <row r="45" spans="1:12" ht="12.75">
      <c r="A45" s="769">
        <f t="shared" si="5"/>
        <v>28</v>
      </c>
      <c r="B45" s="492"/>
      <c r="C45" s="522" t="s">
        <v>226</v>
      </c>
      <c r="D45" s="541" t="s">
        <v>253</v>
      </c>
      <c r="E45" s="502" t="s">
        <v>446</v>
      </c>
      <c r="F45" s="509"/>
      <c r="G45" s="510">
        <f>ROUND(K45/30.126,1)</f>
        <v>272.2</v>
      </c>
      <c r="H45" s="501">
        <f>výdavky!D344</f>
        <v>7850</v>
      </c>
      <c r="I45" s="501">
        <f>výdavky!E344</f>
        <v>7850</v>
      </c>
      <c r="J45" s="501">
        <f>výdavky!F344</f>
        <v>8000</v>
      </c>
      <c r="K45" s="501">
        <f>výdavky!G344</f>
        <v>8200</v>
      </c>
      <c r="L45" s="501">
        <f>výdavky!H344</f>
        <v>8500</v>
      </c>
    </row>
    <row r="46" spans="1:12" ht="12.75">
      <c r="A46" s="769">
        <f t="shared" si="5"/>
        <v>29</v>
      </c>
      <c r="B46" s="492"/>
      <c r="C46" s="522" t="s">
        <v>230</v>
      </c>
      <c r="D46" s="541" t="s">
        <v>264</v>
      </c>
      <c r="E46" s="502" t="s">
        <v>387</v>
      </c>
      <c r="F46" s="509"/>
      <c r="G46" s="510"/>
      <c r="H46" s="501">
        <f>výdavky!D346</f>
        <v>7500</v>
      </c>
      <c r="I46" s="501">
        <f>výdavky!E346</f>
        <v>8500</v>
      </c>
      <c r="J46" s="613">
        <f>výdavky!F346</f>
        <v>8000</v>
      </c>
      <c r="K46" s="501">
        <f>výdavky!G346</f>
        <v>7500</v>
      </c>
      <c r="L46" s="501">
        <f>výdavky!H346</f>
        <v>7500</v>
      </c>
    </row>
    <row r="47" spans="1:12" ht="12.75">
      <c r="A47" s="769">
        <f t="shared" si="5"/>
        <v>30</v>
      </c>
      <c r="B47" s="492"/>
      <c r="C47" s="522" t="s">
        <v>232</v>
      </c>
      <c r="D47" s="541" t="s">
        <v>266</v>
      </c>
      <c r="E47" s="502" t="s">
        <v>447</v>
      </c>
      <c r="F47" s="509"/>
      <c r="G47" s="510">
        <f>ROUND(K47/30.126,1)</f>
        <v>16.6</v>
      </c>
      <c r="H47" s="501">
        <f>výdavky!D347</f>
        <v>400</v>
      </c>
      <c r="I47" s="501">
        <f>výdavky!E347</f>
        <v>550</v>
      </c>
      <c r="J47" s="613">
        <f>výdavky!F347</f>
        <v>500</v>
      </c>
      <c r="K47" s="501">
        <f>výdavky!G347</f>
        <v>500</v>
      </c>
      <c r="L47" s="501">
        <f>výdavky!H347</f>
        <v>500</v>
      </c>
    </row>
    <row r="48" spans="1:12" ht="12.75">
      <c r="A48" s="769">
        <f t="shared" si="5"/>
        <v>31</v>
      </c>
      <c r="B48" s="492"/>
      <c r="C48" s="522" t="s">
        <v>232</v>
      </c>
      <c r="D48" s="536" t="s">
        <v>268</v>
      </c>
      <c r="E48" s="493" t="s">
        <v>428</v>
      </c>
      <c r="F48" s="537"/>
      <c r="G48" s="543"/>
      <c r="H48" s="496">
        <f>výdavky!D349</f>
        <v>23000</v>
      </c>
      <c r="I48" s="496">
        <f>výdavky!E349</f>
        <v>23000</v>
      </c>
      <c r="J48" s="636">
        <f>výdavky!F349</f>
        <v>23000</v>
      </c>
      <c r="K48" s="496">
        <f>výdavky!G349</f>
        <v>23000</v>
      </c>
      <c r="L48" s="496">
        <f>výdavky!H349</f>
        <v>23000</v>
      </c>
    </row>
    <row r="49" spans="1:12" ht="12.75">
      <c r="A49" s="769">
        <f t="shared" si="5"/>
        <v>32</v>
      </c>
      <c r="B49" s="492"/>
      <c r="C49" s="522" t="s">
        <v>232</v>
      </c>
      <c r="D49" s="541" t="s">
        <v>272</v>
      </c>
      <c r="E49" s="502" t="s">
        <v>448</v>
      </c>
      <c r="F49" s="509"/>
      <c r="G49" s="510"/>
      <c r="H49" s="501">
        <f>výdavky!D350</f>
        <v>1500</v>
      </c>
      <c r="I49" s="501">
        <f>výdavky!E350+výdavky!E348</f>
        <v>932</v>
      </c>
      <c r="J49" s="613">
        <f>výdavky!F350</f>
        <v>4000</v>
      </c>
      <c r="K49" s="501">
        <f>výdavky!G350</f>
        <v>1500</v>
      </c>
      <c r="L49" s="501">
        <f>výdavky!H350</f>
        <v>1500</v>
      </c>
    </row>
    <row r="50" spans="1:12" ht="12.75">
      <c r="A50" s="769">
        <f t="shared" si="5"/>
        <v>33</v>
      </c>
      <c r="B50" s="492"/>
      <c r="C50" s="522" t="s">
        <v>236</v>
      </c>
      <c r="D50" s="541" t="s">
        <v>275</v>
      </c>
      <c r="E50" s="502" t="s">
        <v>319</v>
      </c>
      <c r="F50" s="509"/>
      <c r="G50" s="510"/>
      <c r="H50" s="501">
        <f>výdavky!D351</f>
        <v>200</v>
      </c>
      <c r="I50" s="501">
        <f>výdavky!E351</f>
        <v>450</v>
      </c>
      <c r="J50" s="613">
        <f>výdavky!F351</f>
        <v>400</v>
      </c>
      <c r="K50" s="501">
        <f>výdavky!G351</f>
        <v>400</v>
      </c>
      <c r="L50" s="501">
        <f>výdavky!H351</f>
        <v>400</v>
      </c>
    </row>
    <row r="51" spans="1:12" ht="12.75">
      <c r="A51" s="727">
        <f t="shared" si="5"/>
        <v>34</v>
      </c>
      <c r="B51" s="794"/>
      <c r="C51" s="795" t="s">
        <v>240</v>
      </c>
      <c r="D51" s="616" t="s">
        <v>305</v>
      </c>
      <c r="E51" s="687" t="s">
        <v>241</v>
      </c>
      <c r="F51" s="688"/>
      <c r="G51" s="689"/>
      <c r="H51" s="621">
        <f>výdavky!D352</f>
        <v>150</v>
      </c>
      <c r="I51" s="621">
        <f>výdavky!E352</f>
        <v>250</v>
      </c>
      <c r="J51" s="621">
        <f>výdavky!F352</f>
        <v>500</v>
      </c>
      <c r="K51" s="621">
        <f>výdavky!G352</f>
        <v>500</v>
      </c>
      <c r="L51" s="621">
        <f>výdavky!H352</f>
        <v>500</v>
      </c>
    </row>
    <row r="54" ht="12.75">
      <c r="E54" s="412"/>
    </row>
    <row r="56" ht="12.75">
      <c r="L56" s="763"/>
    </row>
  </sheetData>
  <mergeCells count="2">
    <mergeCell ref="G3:L3"/>
    <mergeCell ref="D4:F6"/>
  </mergeCells>
  <printOptions/>
  <pageMargins left="0.5902777777777778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J7" sqref="J7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7.57421875" style="0" customWidth="1"/>
    <col min="11" max="11" width="8.421875" style="0" customWidth="1"/>
    <col min="12" max="12" width="7.28125" style="0" customWidth="1"/>
  </cols>
  <sheetData>
    <row r="1" spans="2:12" ht="15.75">
      <c r="B1" s="415" t="s">
        <v>449</v>
      </c>
      <c r="E1" s="796" t="s">
        <v>450</v>
      </c>
      <c r="F1" s="413"/>
      <c r="G1" s="579" t="e">
        <f>G2-G7</f>
        <v>#REF!</v>
      </c>
      <c r="H1" s="579"/>
      <c r="I1" s="579"/>
      <c r="J1" s="580">
        <f>J2-J7</f>
        <v>0</v>
      </c>
      <c r="K1" s="580">
        <f>K2-K7</f>
        <v>0</v>
      </c>
      <c r="L1" s="580">
        <f>L2-L7</f>
        <v>0</v>
      </c>
    </row>
    <row r="2" spans="2:12" ht="15.75">
      <c r="B2" s="415"/>
      <c r="E2" s="413"/>
      <c r="F2" s="413"/>
      <c r="G2" s="579" t="e">
        <f>SUM(G8:G10)</f>
        <v>#REF!</v>
      </c>
      <c r="H2" s="579"/>
      <c r="I2" s="579"/>
      <c r="J2" s="580">
        <f>SUM(J8:J10)</f>
        <v>233100</v>
      </c>
      <c r="K2" s="580">
        <f>SUM(K8:K10)</f>
        <v>44500</v>
      </c>
      <c r="L2" s="580">
        <f>SUM(L8:L10)</f>
        <v>45500</v>
      </c>
    </row>
    <row r="3" spans="1:12" ht="12.75" customHeight="1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2" customHeight="1">
      <c r="A4" s="429"/>
      <c r="B4" s="430" t="s">
        <v>203</v>
      </c>
      <c r="C4" s="431" t="s">
        <v>204</v>
      </c>
      <c r="D4" s="1475" t="s">
        <v>205</v>
      </c>
      <c r="E4" s="1475"/>
      <c r="F4" s="1475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3.5" customHeight="1">
      <c r="A5" s="429"/>
      <c r="B5" s="430" t="s">
        <v>206</v>
      </c>
      <c r="C5" s="431" t="s">
        <v>207</v>
      </c>
      <c r="D5" s="1475"/>
      <c r="E5" s="1475"/>
      <c r="F5" s="1475"/>
      <c r="G5" s="434" t="s">
        <v>208</v>
      </c>
      <c r="H5" s="436" t="s">
        <v>210</v>
      </c>
      <c r="I5" s="436" t="s">
        <v>210</v>
      </c>
      <c r="J5" s="765" t="s">
        <v>209</v>
      </c>
      <c r="K5" s="436" t="s">
        <v>210</v>
      </c>
      <c r="L5" s="436" t="s">
        <v>210</v>
      </c>
    </row>
    <row r="6" spans="1:12" ht="12.75">
      <c r="A6" s="583"/>
      <c r="B6" s="584" t="s">
        <v>211</v>
      </c>
      <c r="C6" s="585" t="s">
        <v>212</v>
      </c>
      <c r="D6" s="1475"/>
      <c r="E6" s="1475"/>
      <c r="F6" s="1475"/>
      <c r="G6" s="586">
        <v>1</v>
      </c>
      <c r="H6" s="657">
        <v>-2</v>
      </c>
      <c r="I6" s="657">
        <v>-1</v>
      </c>
      <c r="J6" s="657">
        <v>1</v>
      </c>
      <c r="K6" s="657">
        <v>2</v>
      </c>
      <c r="L6" s="657">
        <v>3</v>
      </c>
    </row>
    <row r="7" spans="1:12" ht="15">
      <c r="A7" s="447">
        <v>1</v>
      </c>
      <c r="B7" s="797" t="s">
        <v>449</v>
      </c>
      <c r="C7" s="589"/>
      <c r="D7" s="590"/>
      <c r="E7" s="591" t="s">
        <v>451</v>
      </c>
      <c r="F7" s="592"/>
      <c r="G7" s="798" t="e">
        <f>G11+#REF!+#REF!+G17+#REF!+#REF!+#REF!+#REF!+#REF!+#REF!+#REF!+#REF!+G22+#REF!</f>
        <v>#REF!</v>
      </c>
      <c r="H7" s="799">
        <f>SUM(H8:H10)</f>
        <v>40650</v>
      </c>
      <c r="I7" s="799">
        <f>SUM(I8:I10)</f>
        <v>46585</v>
      </c>
      <c r="J7" s="800">
        <f>SUM(J8,J9,J10)</f>
        <v>233100</v>
      </c>
      <c r="K7" s="799">
        <f>SUM(K8:K10)</f>
        <v>44500</v>
      </c>
      <c r="L7" s="799">
        <f>SUM(L8:L10)</f>
        <v>45500</v>
      </c>
    </row>
    <row r="8" spans="1:12" ht="12.75">
      <c r="A8" s="447">
        <f aca="true" t="shared" si="0" ref="A8:A15">A7+1</f>
        <v>2</v>
      </c>
      <c r="B8" s="448" t="s">
        <v>214</v>
      </c>
      <c r="C8" s="449" t="s">
        <v>215</v>
      </c>
      <c r="D8" s="450"/>
      <c r="E8" s="451"/>
      <c r="F8" s="452"/>
      <c r="G8" s="596" t="e">
        <f>G12+#REF!+#REF!+#REF!+G18+#REF!+#REF!+#REF!+#REF!+G23+#REF!+#REF!+#REF!</f>
        <v>#REF!</v>
      </c>
      <c r="H8" s="598">
        <f>SUM(H12,H18,H23,H31)</f>
        <v>40650</v>
      </c>
      <c r="I8" s="598">
        <f>SUM(I12,I18,I23,I31)</f>
        <v>46585</v>
      </c>
      <c r="J8" s="598">
        <f>SUM(J12,J18,J23,J31)</f>
        <v>43100</v>
      </c>
      <c r="K8" s="598">
        <f>SUM(K12,K18,K23,K31)</f>
        <v>44500</v>
      </c>
      <c r="L8" s="598">
        <f>SUM(L12,L18,L23,L31)</f>
        <v>45500</v>
      </c>
    </row>
    <row r="9" spans="1:12" ht="12.75">
      <c r="A9" s="447">
        <f t="shared" si="0"/>
        <v>3</v>
      </c>
      <c r="B9" s="448" t="s">
        <v>216</v>
      </c>
      <c r="C9" s="449" t="s">
        <v>217</v>
      </c>
      <c r="D9" s="450"/>
      <c r="E9" s="451"/>
      <c r="F9" s="452"/>
      <c r="G9" s="596" t="e">
        <f>#REF!</f>
        <v>#REF!</v>
      </c>
      <c r="H9" s="598">
        <f>SUM(H27)</f>
        <v>0</v>
      </c>
      <c r="I9" s="598">
        <f>SUM(I27)</f>
        <v>0</v>
      </c>
      <c r="J9" s="597">
        <f>SUM(J27)</f>
        <v>190000</v>
      </c>
      <c r="K9" s="598">
        <f>SUM(K27)</f>
        <v>0</v>
      </c>
      <c r="L9" s="598">
        <f>SUM(L27)</f>
        <v>0</v>
      </c>
    </row>
    <row r="10" spans="1:12" ht="12.75">
      <c r="A10" s="447">
        <f t="shared" si="0"/>
        <v>4</v>
      </c>
      <c r="B10" s="455"/>
      <c r="C10" s="456" t="s">
        <v>218</v>
      </c>
      <c r="D10" s="457"/>
      <c r="E10" s="458"/>
      <c r="F10" s="459"/>
      <c r="G10" s="601" t="e">
        <f>#REF!</f>
        <v>#REF!</v>
      </c>
      <c r="H10" s="598">
        <v>0</v>
      </c>
      <c r="I10" s="598">
        <v>0</v>
      </c>
      <c r="J10" s="602">
        <v>0</v>
      </c>
      <c r="K10" s="598">
        <v>0</v>
      </c>
      <c r="L10" s="598">
        <v>0</v>
      </c>
    </row>
    <row r="11" spans="1:12" ht="12.75">
      <c r="A11" s="447">
        <f t="shared" si="0"/>
        <v>5</v>
      </c>
      <c r="B11" s="462">
        <v>1</v>
      </c>
      <c r="C11" s="564" t="s">
        <v>452</v>
      </c>
      <c r="D11" s="464"/>
      <c r="E11" s="464"/>
      <c r="F11" s="465"/>
      <c r="G11" s="801">
        <f>SUM(G13)</f>
        <v>328.7</v>
      </c>
      <c r="H11" s="467">
        <f aca="true" t="shared" si="1" ref="H11:L12">H12</f>
        <v>13200</v>
      </c>
      <c r="I11" s="467">
        <f t="shared" si="1"/>
        <v>9000</v>
      </c>
      <c r="J11" s="802">
        <f t="shared" si="1"/>
        <v>9500</v>
      </c>
      <c r="K11" s="467">
        <f t="shared" si="1"/>
        <v>9900</v>
      </c>
      <c r="L11" s="467">
        <f t="shared" si="1"/>
        <v>9900</v>
      </c>
    </row>
    <row r="12" spans="1:12" ht="12.75">
      <c r="A12" s="447">
        <f t="shared" si="0"/>
        <v>6</v>
      </c>
      <c r="B12" s="477"/>
      <c r="C12" s="478"/>
      <c r="D12" s="452" t="s">
        <v>215</v>
      </c>
      <c r="E12" s="479"/>
      <c r="F12" s="480"/>
      <c r="G12" s="803">
        <f>G13</f>
        <v>328.7</v>
      </c>
      <c r="H12" s="482">
        <f t="shared" si="1"/>
        <v>13200</v>
      </c>
      <c r="I12" s="482">
        <f t="shared" si="1"/>
        <v>9000</v>
      </c>
      <c r="J12" s="804">
        <f t="shared" si="1"/>
        <v>9500</v>
      </c>
      <c r="K12" s="482">
        <f t="shared" si="1"/>
        <v>9900</v>
      </c>
      <c r="L12" s="482">
        <f t="shared" si="1"/>
        <v>9900</v>
      </c>
    </row>
    <row r="13" spans="1:12" ht="12.75">
      <c r="A13" s="447">
        <f t="shared" si="0"/>
        <v>7</v>
      </c>
      <c r="B13" s="511"/>
      <c r="C13" s="562" t="s">
        <v>453</v>
      </c>
      <c r="D13" s="485" t="s">
        <v>454</v>
      </c>
      <c r="E13" s="486"/>
      <c r="F13" s="487"/>
      <c r="G13" s="805">
        <f>SUM(G14:G15)</f>
        <v>328.7</v>
      </c>
      <c r="H13" s="489">
        <f>SUM(H14,H15,H16)</f>
        <v>13200</v>
      </c>
      <c r="I13" s="489">
        <f>SUM(I14,I15,I16)</f>
        <v>9000</v>
      </c>
      <c r="J13" s="612">
        <f>SUM(J14,J15,J16)</f>
        <v>9500</v>
      </c>
      <c r="K13" s="489">
        <f>SUM(K14,K15,K16)</f>
        <v>9900</v>
      </c>
      <c r="L13" s="489">
        <f>SUM(L14,L15,L16)</f>
        <v>9900</v>
      </c>
    </row>
    <row r="14" spans="1:12" ht="12.75">
      <c r="A14" s="447">
        <f t="shared" si="0"/>
        <v>8</v>
      </c>
      <c r="B14" s="511"/>
      <c r="C14" s="542" t="s">
        <v>262</v>
      </c>
      <c r="D14" s="541" t="s">
        <v>251</v>
      </c>
      <c r="E14" s="502" t="s">
        <v>455</v>
      </c>
      <c r="F14" s="509"/>
      <c r="G14" s="510">
        <f>ROUND(K14/30.126,1)</f>
        <v>129.5</v>
      </c>
      <c r="H14" s="501">
        <f>výdavky!D359</f>
        <v>3900</v>
      </c>
      <c r="I14" s="501">
        <f>výdavky!E359</f>
        <v>3000</v>
      </c>
      <c r="J14" s="613">
        <f>výdavky!F359</f>
        <v>3500</v>
      </c>
      <c r="K14" s="501">
        <f>výdavky!G359</f>
        <v>3900</v>
      </c>
      <c r="L14" s="501">
        <f>výdavky!H359</f>
        <v>3900</v>
      </c>
    </row>
    <row r="15" spans="1:12" ht="12.75">
      <c r="A15" s="447">
        <f t="shared" si="0"/>
        <v>9</v>
      </c>
      <c r="B15" s="511"/>
      <c r="C15" s="542" t="s">
        <v>262</v>
      </c>
      <c r="D15" s="541" t="s">
        <v>253</v>
      </c>
      <c r="E15" s="502" t="s">
        <v>456</v>
      </c>
      <c r="F15" s="509"/>
      <c r="G15" s="510">
        <f>ROUND(K15/30.126,1)</f>
        <v>199.2</v>
      </c>
      <c r="H15" s="501">
        <f>výdavky!D360</f>
        <v>8800</v>
      </c>
      <c r="I15" s="501">
        <f>výdavky!E360</f>
        <v>6000</v>
      </c>
      <c r="J15" s="613">
        <f>výdavky!F360</f>
        <v>6000</v>
      </c>
      <c r="K15" s="501">
        <f>výdavky!G360</f>
        <v>6000</v>
      </c>
      <c r="L15" s="501">
        <f>výdavky!H360</f>
        <v>6000</v>
      </c>
    </row>
    <row r="16" spans="1:12" ht="12.75">
      <c r="A16" s="447"/>
      <c r="B16" s="511"/>
      <c r="C16" s="540" t="s">
        <v>412</v>
      </c>
      <c r="D16" s="541" t="s">
        <v>264</v>
      </c>
      <c r="E16" s="637" t="s">
        <v>457</v>
      </c>
      <c r="F16" s="509"/>
      <c r="G16" s="510"/>
      <c r="H16" s="501">
        <f>výdavky!D368</f>
        <v>500</v>
      </c>
      <c r="I16" s="501">
        <f>výdavky!E368</f>
        <v>0</v>
      </c>
      <c r="J16" s="613">
        <f>výdavky!F368</f>
        <v>0</v>
      </c>
      <c r="K16" s="501">
        <f>výdavky!G368</f>
        <v>0</v>
      </c>
      <c r="L16" s="501">
        <f>výdavky!H368</f>
        <v>0</v>
      </c>
    </row>
    <row r="17" spans="1:12" ht="12.75">
      <c r="A17" s="447">
        <v>10</v>
      </c>
      <c r="B17" s="462">
        <v>2</v>
      </c>
      <c r="C17" s="564" t="s">
        <v>458</v>
      </c>
      <c r="D17" s="464"/>
      <c r="E17" s="464"/>
      <c r="F17" s="465"/>
      <c r="G17" s="466" t="e">
        <f>#REF!</f>
        <v>#REF!</v>
      </c>
      <c r="H17" s="806">
        <f>SUM(H18)</f>
        <v>1600</v>
      </c>
      <c r="I17" s="806">
        <f>SUM(I18)</f>
        <v>1600</v>
      </c>
      <c r="J17" s="807">
        <f>SUM(J18)</f>
        <v>1600</v>
      </c>
      <c r="K17" s="806">
        <f>SUM(K18)</f>
        <v>1600</v>
      </c>
      <c r="L17" s="806">
        <f>SUM(L18)</f>
        <v>1600</v>
      </c>
    </row>
    <row r="18" spans="1:12" ht="12.75">
      <c r="A18" s="447">
        <v>11</v>
      </c>
      <c r="B18" s="477"/>
      <c r="C18" s="478"/>
      <c r="D18" s="452" t="s">
        <v>215</v>
      </c>
      <c r="E18" s="479"/>
      <c r="F18" s="480"/>
      <c r="G18" s="803">
        <f aca="true" t="shared" si="2" ref="G18:L18">G19</f>
        <v>33.2</v>
      </c>
      <c r="H18" s="482">
        <f t="shared" si="2"/>
        <v>1600</v>
      </c>
      <c r="I18" s="482">
        <f t="shared" si="2"/>
        <v>1600</v>
      </c>
      <c r="J18" s="804">
        <f t="shared" si="2"/>
        <v>1600</v>
      </c>
      <c r="K18" s="482">
        <f t="shared" si="2"/>
        <v>1600</v>
      </c>
      <c r="L18" s="482">
        <f t="shared" si="2"/>
        <v>1600</v>
      </c>
    </row>
    <row r="19" spans="1:12" ht="12.75">
      <c r="A19" s="447">
        <f aca="true" t="shared" si="3" ref="A19:A26">A18+1</f>
        <v>12</v>
      </c>
      <c r="B19" s="511"/>
      <c r="C19" s="562" t="s">
        <v>459</v>
      </c>
      <c r="D19" s="485" t="s">
        <v>460</v>
      </c>
      <c r="E19" s="486"/>
      <c r="F19" s="487"/>
      <c r="G19" s="805">
        <f>SUM(G20)</f>
        <v>33.2</v>
      </c>
      <c r="H19" s="489">
        <f>SUM(H20:H21)</f>
        <v>1600</v>
      </c>
      <c r="I19" s="489">
        <f>SUM(I20:I21)</f>
        <v>1600</v>
      </c>
      <c r="J19" s="612">
        <f>SUM(J20:J21)</f>
        <v>1600</v>
      </c>
      <c r="K19" s="489">
        <f>SUM(K20:K21)</f>
        <v>1600</v>
      </c>
      <c r="L19" s="489">
        <f>SUM(L20:L21)</f>
        <v>1600</v>
      </c>
    </row>
    <row r="20" spans="1:12" ht="12.75">
      <c r="A20" s="447">
        <f t="shared" si="3"/>
        <v>13</v>
      </c>
      <c r="B20" s="511"/>
      <c r="C20" s="542" t="s">
        <v>412</v>
      </c>
      <c r="D20" s="541" t="s">
        <v>251</v>
      </c>
      <c r="E20" s="502" t="s">
        <v>461</v>
      </c>
      <c r="F20" s="509"/>
      <c r="G20" s="510">
        <f>ROUND(K20/30.126,1)</f>
        <v>33.2</v>
      </c>
      <c r="H20" s="501">
        <f>výdavky!D363</f>
        <v>1000</v>
      </c>
      <c r="I20" s="501">
        <f>výdavky!E363</f>
        <v>1000</v>
      </c>
      <c r="J20" s="613">
        <f>výdavky!F363</f>
        <v>1000</v>
      </c>
      <c r="K20" s="501">
        <f>výdavky!G363</f>
        <v>1000</v>
      </c>
      <c r="L20" s="501">
        <f>výdavky!H363</f>
        <v>1000</v>
      </c>
    </row>
    <row r="21" spans="1:12" ht="12.75">
      <c r="A21" s="447">
        <f t="shared" si="3"/>
        <v>14</v>
      </c>
      <c r="B21" s="511"/>
      <c r="C21" s="540" t="s">
        <v>412</v>
      </c>
      <c r="D21" s="541" t="s">
        <v>253</v>
      </c>
      <c r="E21" s="502" t="s">
        <v>462</v>
      </c>
      <c r="F21" s="509"/>
      <c r="G21" s="510"/>
      <c r="H21" s="501">
        <f>výdavky!D361</f>
        <v>600</v>
      </c>
      <c r="I21" s="501">
        <f>výdavky!E361</f>
        <v>600</v>
      </c>
      <c r="J21" s="613">
        <f>výdavky!F361</f>
        <v>600</v>
      </c>
      <c r="K21" s="501">
        <f>výdavky!G361</f>
        <v>600</v>
      </c>
      <c r="L21" s="501">
        <f>výdavky!H361</f>
        <v>600</v>
      </c>
    </row>
    <row r="22" spans="1:12" ht="12.75">
      <c r="A22" s="447">
        <f t="shared" si="3"/>
        <v>15</v>
      </c>
      <c r="B22" s="462">
        <v>3</v>
      </c>
      <c r="C22" s="564" t="s">
        <v>463</v>
      </c>
      <c r="D22" s="464"/>
      <c r="E22" s="464"/>
      <c r="F22" s="465"/>
      <c r="G22" s="466">
        <f>SUM(G24)</f>
        <v>564.3000000000001</v>
      </c>
      <c r="H22" s="468">
        <f>H24</f>
        <v>10000</v>
      </c>
      <c r="I22" s="468">
        <f>I24</f>
        <v>17130</v>
      </c>
      <c r="J22" s="802">
        <f>J24</f>
        <v>16000</v>
      </c>
      <c r="K22" s="468">
        <f>K24</f>
        <v>17000</v>
      </c>
      <c r="L22" s="468">
        <f>L24</f>
        <v>18000</v>
      </c>
    </row>
    <row r="23" spans="1:12" ht="12.75">
      <c r="A23" s="447">
        <f t="shared" si="3"/>
        <v>16</v>
      </c>
      <c r="B23" s="477"/>
      <c r="C23" s="478"/>
      <c r="D23" s="452" t="s">
        <v>215</v>
      </c>
      <c r="E23" s="479"/>
      <c r="F23" s="480"/>
      <c r="G23" s="481">
        <f aca="true" t="shared" si="4" ref="G23:L23">G24</f>
        <v>564.3000000000001</v>
      </c>
      <c r="H23" s="482">
        <f t="shared" si="4"/>
        <v>10000</v>
      </c>
      <c r="I23" s="482">
        <f t="shared" si="4"/>
        <v>17130</v>
      </c>
      <c r="J23" s="804">
        <f t="shared" si="4"/>
        <v>16000</v>
      </c>
      <c r="K23" s="482">
        <f t="shared" si="4"/>
        <v>17000</v>
      </c>
      <c r="L23" s="482">
        <f t="shared" si="4"/>
        <v>18000</v>
      </c>
    </row>
    <row r="24" spans="1:12" ht="12.75">
      <c r="A24" s="447">
        <f t="shared" si="3"/>
        <v>17</v>
      </c>
      <c r="B24" s="477"/>
      <c r="C24" s="562" t="s">
        <v>464</v>
      </c>
      <c r="D24" s="485" t="s">
        <v>463</v>
      </c>
      <c r="E24" s="486"/>
      <c r="F24" s="487"/>
      <c r="G24" s="552">
        <f>SUM(G25:G34)</f>
        <v>564.3000000000001</v>
      </c>
      <c r="H24" s="553">
        <f>SUM(H25,H26)</f>
        <v>10000</v>
      </c>
      <c r="I24" s="553">
        <f>SUM(I25,I26)</f>
        <v>17130</v>
      </c>
      <c r="J24" s="808">
        <f>SUM(J25,J26)</f>
        <v>16000</v>
      </c>
      <c r="K24" s="553">
        <f>SUM(K25,K26)</f>
        <v>17000</v>
      </c>
      <c r="L24" s="553">
        <f>SUM(L25,L26)</f>
        <v>18000</v>
      </c>
    </row>
    <row r="25" spans="1:12" ht="12.75">
      <c r="A25" s="447">
        <f t="shared" si="3"/>
        <v>18</v>
      </c>
      <c r="B25" s="511"/>
      <c r="C25" s="542" t="s">
        <v>425</v>
      </c>
      <c r="D25" s="541" t="s">
        <v>251</v>
      </c>
      <c r="E25" s="502" t="s">
        <v>426</v>
      </c>
      <c r="F25" s="509"/>
      <c r="G25" s="510">
        <f>ROUND(K25/30.126,1)</f>
        <v>531.1</v>
      </c>
      <c r="H25" s="501">
        <f>výdavky!D365</f>
        <v>9200</v>
      </c>
      <c r="I25" s="501">
        <f>výdavky!E365</f>
        <v>14630</v>
      </c>
      <c r="J25" s="809">
        <f>výdavky!F365</f>
        <v>15000</v>
      </c>
      <c r="K25" s="501">
        <f>výdavky!G365</f>
        <v>16000</v>
      </c>
      <c r="L25" s="501">
        <f>výdavky!H365</f>
        <v>17000</v>
      </c>
    </row>
    <row r="26" spans="1:12" ht="12.75">
      <c r="A26" s="447">
        <f t="shared" si="3"/>
        <v>19</v>
      </c>
      <c r="B26" s="511"/>
      <c r="C26" s="542" t="s">
        <v>427</v>
      </c>
      <c r="D26" s="541" t="s">
        <v>253</v>
      </c>
      <c r="E26" s="502" t="s">
        <v>404</v>
      </c>
      <c r="F26" s="509"/>
      <c r="G26" s="510">
        <f>ROUND(K26/30.126,1)</f>
        <v>33.2</v>
      </c>
      <c r="H26" s="501">
        <f>výdavky!D366</f>
        <v>800</v>
      </c>
      <c r="I26" s="501">
        <f>výdavky!E366</f>
        <v>2500</v>
      </c>
      <c r="J26" s="809">
        <f>výdavky!F366</f>
        <v>1000</v>
      </c>
      <c r="K26" s="501">
        <f>výdavky!G366</f>
        <v>1000</v>
      </c>
      <c r="L26" s="501">
        <f>výdavky!H366</f>
        <v>1000</v>
      </c>
    </row>
    <row r="27" spans="1:12" ht="12.75">
      <c r="A27" s="447">
        <v>20</v>
      </c>
      <c r="B27" s="511"/>
      <c r="C27" s="540"/>
      <c r="D27" s="1479" t="s">
        <v>217</v>
      </c>
      <c r="E27" s="1479"/>
      <c r="F27" s="508"/>
      <c r="G27" s="810"/>
      <c r="H27" s="758">
        <f aca="true" t="shared" si="5" ref="H27:L28">SUM(H28)</f>
        <v>0</v>
      </c>
      <c r="I27" s="758">
        <f t="shared" si="5"/>
        <v>0</v>
      </c>
      <c r="J27" s="759">
        <f t="shared" si="5"/>
        <v>190000</v>
      </c>
      <c r="K27" s="758">
        <f t="shared" si="5"/>
        <v>0</v>
      </c>
      <c r="L27" s="758">
        <f t="shared" si="5"/>
        <v>0</v>
      </c>
    </row>
    <row r="28" spans="1:12" ht="12.75">
      <c r="A28" s="447">
        <v>21</v>
      </c>
      <c r="B28" s="511"/>
      <c r="C28" s="562" t="s">
        <v>464</v>
      </c>
      <c r="D28" s="485" t="s">
        <v>463</v>
      </c>
      <c r="E28" s="486"/>
      <c r="F28" s="487"/>
      <c r="G28" s="552">
        <f>SUM(G29:G38)</f>
        <v>0</v>
      </c>
      <c r="H28" s="553">
        <f t="shared" si="5"/>
        <v>0</v>
      </c>
      <c r="I28" s="553">
        <f t="shared" si="5"/>
        <v>0</v>
      </c>
      <c r="J28" s="808">
        <f t="shared" si="5"/>
        <v>190000</v>
      </c>
      <c r="K28" s="553">
        <f t="shared" si="5"/>
        <v>0</v>
      </c>
      <c r="L28" s="553">
        <f t="shared" si="5"/>
        <v>0</v>
      </c>
    </row>
    <row r="29" spans="1:12" ht="12.75">
      <c r="A29" s="447">
        <v>22</v>
      </c>
      <c r="B29" s="511"/>
      <c r="C29" s="540" t="s">
        <v>332</v>
      </c>
      <c r="D29" s="541" t="s">
        <v>264</v>
      </c>
      <c r="E29" s="502" t="s">
        <v>93</v>
      </c>
      <c r="F29" s="509"/>
      <c r="G29" s="510"/>
      <c r="H29" s="501">
        <v>0</v>
      </c>
      <c r="I29" s="501">
        <v>0</v>
      </c>
      <c r="J29" s="809">
        <f>výdavky!F433</f>
        <v>190000</v>
      </c>
      <c r="K29" s="501">
        <f>výdavky!G433</f>
        <v>0</v>
      </c>
      <c r="L29" s="501">
        <f>výdavky!H433</f>
        <v>0</v>
      </c>
    </row>
    <row r="30" spans="1:12" ht="12.75">
      <c r="A30" s="447">
        <v>23</v>
      </c>
      <c r="B30" s="811">
        <v>4</v>
      </c>
      <c r="C30" s="1442" t="s">
        <v>465</v>
      </c>
      <c r="D30" s="1442"/>
      <c r="E30" s="1442"/>
      <c r="F30" s="812"/>
      <c r="G30" s="813"/>
      <c r="H30" s="641">
        <f aca="true" t="shared" si="6" ref="H30:L31">SUM(H31)</f>
        <v>15850</v>
      </c>
      <c r="I30" s="641">
        <f t="shared" si="6"/>
        <v>18855</v>
      </c>
      <c r="J30" s="814">
        <f t="shared" si="6"/>
        <v>16000</v>
      </c>
      <c r="K30" s="641">
        <f t="shared" si="6"/>
        <v>16000</v>
      </c>
      <c r="L30" s="641">
        <f t="shared" si="6"/>
        <v>16000</v>
      </c>
    </row>
    <row r="31" spans="1:12" ht="12.75">
      <c r="A31" s="447">
        <v>24</v>
      </c>
      <c r="B31" s="511"/>
      <c r="C31" s="540"/>
      <c r="D31" s="452" t="s">
        <v>215</v>
      </c>
      <c r="E31" s="479"/>
      <c r="F31" s="480"/>
      <c r="G31" s="668"/>
      <c r="H31" s="758">
        <f t="shared" si="6"/>
        <v>15850</v>
      </c>
      <c r="I31" s="758">
        <f t="shared" si="6"/>
        <v>18855</v>
      </c>
      <c r="J31" s="815">
        <f t="shared" si="6"/>
        <v>16000</v>
      </c>
      <c r="K31" s="758">
        <f t="shared" si="6"/>
        <v>16000</v>
      </c>
      <c r="L31" s="758">
        <f t="shared" si="6"/>
        <v>16000</v>
      </c>
    </row>
    <row r="32" spans="1:12" ht="12.75">
      <c r="A32" s="447">
        <v>25</v>
      </c>
      <c r="B32" s="511"/>
      <c r="C32" s="562" t="s">
        <v>466</v>
      </c>
      <c r="D32" s="485" t="s">
        <v>467</v>
      </c>
      <c r="E32" s="486"/>
      <c r="F32" s="487"/>
      <c r="G32" s="510"/>
      <c r="H32" s="699">
        <f>SUM(H33,H34,H35)</f>
        <v>15850</v>
      </c>
      <c r="I32" s="699">
        <f>SUM(I33,I34,I35)</f>
        <v>18855</v>
      </c>
      <c r="J32" s="816">
        <f>SUM(J33,J34,J35)</f>
        <v>16000</v>
      </c>
      <c r="K32" s="699">
        <f>SUM(K33,K34,K35)</f>
        <v>16000</v>
      </c>
      <c r="L32" s="699">
        <f>SUM(L33,L34,L35)</f>
        <v>16000</v>
      </c>
    </row>
    <row r="33" spans="1:12" ht="12.75">
      <c r="A33" s="447">
        <v>26</v>
      </c>
      <c r="B33" s="511"/>
      <c r="C33" s="540" t="s">
        <v>412</v>
      </c>
      <c r="D33" s="541" t="s">
        <v>251</v>
      </c>
      <c r="E33" s="772" t="s">
        <v>468</v>
      </c>
      <c r="F33" s="817"/>
      <c r="G33" s="818"/>
      <c r="H33" s="775">
        <f>výdavky!D372</f>
        <v>14500</v>
      </c>
      <c r="I33" s="775">
        <f>výdavky!E372</f>
        <v>14500</v>
      </c>
      <c r="J33" s="819">
        <f>výdavky!F372</f>
        <v>14500</v>
      </c>
      <c r="K33" s="775">
        <f>výdavky!G372</f>
        <v>14500</v>
      </c>
      <c r="L33" s="775">
        <f>výdavky!H372</f>
        <v>14500</v>
      </c>
    </row>
    <row r="34" spans="1:12" ht="12.75">
      <c r="A34" s="447">
        <v>27</v>
      </c>
      <c r="B34" s="511"/>
      <c r="C34" s="540" t="s">
        <v>412</v>
      </c>
      <c r="D34" s="541" t="s">
        <v>253</v>
      </c>
      <c r="E34" s="772" t="s">
        <v>469</v>
      </c>
      <c r="F34" s="817"/>
      <c r="G34" s="818"/>
      <c r="H34" s="775">
        <f>výdavky!D373</f>
        <v>1350</v>
      </c>
      <c r="I34" s="775">
        <f>výdavky!E373</f>
        <v>4355</v>
      </c>
      <c r="J34" s="819">
        <f>výdavky!F373</f>
        <v>1500</v>
      </c>
      <c r="K34" s="775">
        <f>výdavky!G373</f>
        <v>1500</v>
      </c>
      <c r="L34" s="775">
        <f>výdavky!H373</f>
        <v>1500</v>
      </c>
    </row>
    <row r="35" spans="1:12" ht="12.75">
      <c r="A35" s="571">
        <v>28</v>
      </c>
      <c r="B35" s="727"/>
      <c r="C35" s="615"/>
      <c r="D35" s="616" t="s">
        <v>264</v>
      </c>
      <c r="E35" s="687" t="s">
        <v>470</v>
      </c>
      <c r="F35" s="688"/>
      <c r="G35" s="820"/>
      <c r="H35" s="821">
        <f>výdavky!D371</f>
        <v>0</v>
      </c>
      <c r="I35" s="821">
        <f>výdavky!E371</f>
        <v>0</v>
      </c>
      <c r="J35" s="822">
        <f>výdavky!F371</f>
        <v>0</v>
      </c>
      <c r="K35" s="821">
        <f>výdavky!G371</f>
        <v>0</v>
      </c>
      <c r="L35" s="821">
        <f>výdavky!H371</f>
        <v>0</v>
      </c>
    </row>
  </sheetData>
  <mergeCells count="4">
    <mergeCell ref="G3:L3"/>
    <mergeCell ref="D4:F6"/>
    <mergeCell ref="D27:E27"/>
    <mergeCell ref="C30:E30"/>
  </mergeCells>
  <printOptions/>
  <pageMargins left="0.7875" right="0.39375" top="0.7875" bottom="0.7875" header="0.5118055555555556" footer="0.5118055555555556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29" sqref="E29"/>
    </sheetView>
  </sheetViews>
  <sheetFormatPr defaultColWidth="9.140625" defaultRowHeight="12.75"/>
  <cols>
    <col min="2" max="2" width="29.140625" style="0" customWidth="1"/>
    <col min="3" max="7" width="10.7109375" style="0" customWidth="1"/>
    <col min="9" max="9" width="11.57421875" style="0" customWidth="1"/>
  </cols>
  <sheetData>
    <row r="1" spans="1:7" ht="15.75">
      <c r="A1" s="1480" t="s">
        <v>471</v>
      </c>
      <c r="B1" s="1480"/>
      <c r="C1" s="1480"/>
      <c r="D1" s="1480"/>
      <c r="E1" s="1480"/>
      <c r="F1" s="1480"/>
      <c r="G1" s="1480"/>
    </row>
    <row r="2" spans="1:7" s="823" customFormat="1" ht="15.75">
      <c r="A2" s="1480"/>
      <c r="B2" s="1480"/>
      <c r="C2" s="1480"/>
      <c r="D2" s="1480"/>
      <c r="E2" s="1480"/>
      <c r="F2" s="1480"/>
      <c r="G2" s="1480"/>
    </row>
    <row r="3" spans="1:7" ht="12.75">
      <c r="A3" s="824"/>
      <c r="B3" s="824"/>
      <c r="C3" s="824"/>
      <c r="D3" s="824"/>
      <c r="E3" s="824"/>
      <c r="F3" s="825"/>
      <c r="G3" s="825"/>
    </row>
    <row r="4" spans="1:7" ht="12.75">
      <c r="A4" s="824"/>
      <c r="B4" s="824"/>
      <c r="C4" s="824"/>
      <c r="D4" s="824"/>
      <c r="E4" s="824"/>
      <c r="F4" s="825"/>
      <c r="G4" s="825"/>
    </row>
    <row r="5" spans="1:7" ht="12.75">
      <c r="A5" s="826" t="s">
        <v>472</v>
      </c>
      <c r="B5" s="827"/>
      <c r="C5" s="1481" t="s">
        <v>473</v>
      </c>
      <c r="D5" s="1481"/>
      <c r="E5" s="1481"/>
      <c r="F5" s="1481"/>
      <c r="G5" s="1481"/>
    </row>
    <row r="6" spans="1:7" ht="12.75">
      <c r="A6" s="828"/>
      <c r="B6" s="829"/>
      <c r="C6" s="830">
        <v>2012</v>
      </c>
      <c r="D6" s="830">
        <v>2013</v>
      </c>
      <c r="E6" s="830">
        <v>2014</v>
      </c>
      <c r="F6" s="831">
        <v>2015</v>
      </c>
      <c r="G6" s="831">
        <v>2016</v>
      </c>
    </row>
    <row r="7" spans="1:7" ht="12.75">
      <c r="A7" s="828"/>
      <c r="B7" s="829"/>
      <c r="C7" s="832" t="s">
        <v>209</v>
      </c>
      <c r="D7" s="832" t="s">
        <v>209</v>
      </c>
      <c r="E7" s="832" t="s">
        <v>209</v>
      </c>
      <c r="F7" s="832" t="s">
        <v>209</v>
      </c>
      <c r="G7" s="832" t="s">
        <v>209</v>
      </c>
    </row>
    <row r="8" spans="1:7" ht="12.75">
      <c r="A8" s="833"/>
      <c r="B8" s="834"/>
      <c r="C8" s="835">
        <v>-2</v>
      </c>
      <c r="D8" s="835">
        <v>-1</v>
      </c>
      <c r="E8" s="835">
        <v>1</v>
      </c>
      <c r="F8" s="836">
        <v>2</v>
      </c>
      <c r="G8" s="836">
        <v>3</v>
      </c>
    </row>
    <row r="9" spans="1:7" ht="12.75">
      <c r="A9" s="837" t="s">
        <v>474</v>
      </c>
      <c r="B9" s="838"/>
      <c r="C9" s="839"/>
      <c r="D9" s="839"/>
      <c r="E9" s="839"/>
      <c r="F9" s="840"/>
      <c r="G9" s="840"/>
    </row>
    <row r="10" spans="1:7" ht="12.75">
      <c r="A10" s="841" t="s">
        <v>1</v>
      </c>
      <c r="B10" s="842"/>
      <c r="C10" s="843">
        <v>1291907</v>
      </c>
      <c r="D10" s="843">
        <v>1485506</v>
      </c>
      <c r="E10" s="843">
        <v>1518953</v>
      </c>
      <c r="F10" s="843">
        <v>1492453</v>
      </c>
      <c r="G10" s="843">
        <v>1485453</v>
      </c>
    </row>
    <row r="11" spans="1:10" ht="12.75">
      <c r="A11" s="841" t="s">
        <v>83</v>
      </c>
      <c r="B11" s="842"/>
      <c r="C11" s="843">
        <v>720865</v>
      </c>
      <c r="D11" s="843">
        <v>118925</v>
      </c>
      <c r="E11" s="843">
        <v>738000</v>
      </c>
      <c r="F11" s="843">
        <v>0</v>
      </c>
      <c r="G11" s="843">
        <v>0</v>
      </c>
      <c r="H11" s="414"/>
      <c r="I11" s="764"/>
      <c r="J11" s="414"/>
    </row>
    <row r="12" spans="1:11" ht="12.75">
      <c r="A12" s="844" t="s">
        <v>475</v>
      </c>
      <c r="B12" s="845"/>
      <c r="C12" s="846">
        <v>246629</v>
      </c>
      <c r="D12" s="846">
        <v>0</v>
      </c>
      <c r="E12" s="846">
        <v>0</v>
      </c>
      <c r="F12" s="846">
        <v>0</v>
      </c>
      <c r="G12" s="846">
        <v>0</v>
      </c>
      <c r="H12" s="414"/>
      <c r="I12" s="417"/>
      <c r="J12" s="417"/>
      <c r="K12" s="414"/>
    </row>
    <row r="13" spans="1:10" ht="12.75">
      <c r="A13" s="847" t="s">
        <v>476</v>
      </c>
      <c r="B13" s="848"/>
      <c r="C13" s="849">
        <f>SUM(C10,C11,C12)</f>
        <v>2259401</v>
      </c>
      <c r="D13" s="849">
        <f>SUM(D10,D11,D12)</f>
        <v>1604431</v>
      </c>
      <c r="E13" s="849">
        <f>SUM(E10,E11,E12)</f>
        <v>2256953</v>
      </c>
      <c r="F13" s="849">
        <f>SUM(F10,F11,F12)</f>
        <v>1492453</v>
      </c>
      <c r="G13" s="849">
        <f>SUM(G10,G11,G12)</f>
        <v>1485453</v>
      </c>
      <c r="I13" s="850"/>
      <c r="J13" s="850"/>
    </row>
    <row r="14" spans="1:11" ht="12.75">
      <c r="A14" s="851"/>
      <c r="B14" s="852"/>
      <c r="C14" s="853"/>
      <c r="D14" s="853"/>
      <c r="E14" s="853"/>
      <c r="F14" s="853"/>
      <c r="G14" s="853"/>
      <c r="I14" s="850"/>
      <c r="J14" s="850"/>
      <c r="K14" s="414"/>
    </row>
    <row r="15" spans="1:10" ht="12.75">
      <c r="A15" s="854" t="s">
        <v>477</v>
      </c>
      <c r="B15" s="855"/>
      <c r="C15" s="843"/>
      <c r="D15" s="843"/>
      <c r="E15" s="843"/>
      <c r="F15" s="843"/>
      <c r="G15" s="843"/>
      <c r="I15" s="850"/>
      <c r="J15" s="850"/>
    </row>
    <row r="16" spans="1:9" ht="12.75">
      <c r="A16" s="844" t="s">
        <v>478</v>
      </c>
      <c r="B16" s="845"/>
      <c r="C16" s="846">
        <v>1266696</v>
      </c>
      <c r="D16" s="846">
        <v>1369188</v>
      </c>
      <c r="E16" s="846">
        <f>SUM(výdavky!F451)</f>
        <v>1378249</v>
      </c>
      <c r="F16" s="846">
        <f>SUM('Program 1'!K8,'Program 2'!K8,'Program 3'!K8,'Program 4'!K8,'Program 5'!K8,'Program 6'!K8,'Program 7'!K8,'Program 8'!K8,'Program 9'!K8,'Program 10'!K8)</f>
        <v>1302169</v>
      </c>
      <c r="G16" s="846">
        <f>SUM('Program 1'!L8,'Program 2'!L8,'Program 3'!L8,'Program 4'!L8,'Program 5'!L8,'Program 6'!L8,'Program 7'!L8,'Program 8'!L8,'Program 9'!L8,'Program 10'!L8)</f>
        <v>1336369</v>
      </c>
      <c r="I16" s="414"/>
    </row>
    <row r="17" spans="1:10" ht="12.75">
      <c r="A17" s="841" t="s">
        <v>479</v>
      </c>
      <c r="B17" s="842"/>
      <c r="C17" s="843">
        <v>594050</v>
      </c>
      <c r="D17" s="843">
        <v>55506</v>
      </c>
      <c r="E17" s="843">
        <f>SUM('Program 1'!J9,'Program 2'!J9,'Program 3'!J9,'Program 4'!J9,'Program 5'!J9,'Program 6'!J9,'Program 7'!J9,'Program 8'!J9,'Program 9'!J9,'Program 10'!J9)</f>
        <v>723500</v>
      </c>
      <c r="F17" s="843">
        <f>SUM('Program 1'!K9,'Program 2'!K9,'Program 3'!K9,'Program 4'!K9,'Program 5'!K9,'Program 6'!K9,'Program 7'!K9,'Program 8'!K9,'Program 9'!K9,'Program 10'!K9)</f>
        <v>159834.77</v>
      </c>
      <c r="G17" s="843">
        <f>SUM('Program 1'!L9,'Program 2'!L9,'Program 3'!L9,'Program 4'!L9,'Program 5'!L9,'Program 6'!L9,'Program 7'!L9,'Program 8'!L9,'Program 9'!L9,'Program 10'!L9)</f>
        <v>0</v>
      </c>
      <c r="H17" s="414"/>
      <c r="J17" s="414"/>
    </row>
    <row r="18" spans="1:10" ht="12.75">
      <c r="A18" s="856" t="s">
        <v>480</v>
      </c>
      <c r="B18" s="857"/>
      <c r="C18" s="846">
        <v>194795</v>
      </c>
      <c r="D18" s="846">
        <v>179737</v>
      </c>
      <c r="E18" s="846">
        <f>SUM('Program 1'!J10,'Program 2'!J10,'Program 3'!J10,'Program 4'!J10,'Program 5'!J10,'Program 6'!J10,'Program 7'!J10,'Program 8'!J10,'Program 9'!J10,'Program 10'!J10)</f>
        <v>155204</v>
      </c>
      <c r="F18" s="846">
        <f>SUM('Program 1'!K10,'Program 2'!K10,'Program 3'!K10,'Program 4'!K10,'Program 5'!K10,'Program 6'!K10,'Program 7'!K10,'Program 8'!K10,'Program 9'!K10,'Program 10'!K10)</f>
        <v>30449.23</v>
      </c>
      <c r="G18" s="846">
        <f>SUM('Program 1'!L10,'Program 2'!L10,'Program 3'!L10,'Program 4'!L10,'Program 5'!L10,'Program 6'!L10,'Program 7'!L10,'Program 8'!L10,'Program 9'!L10,'Program 10'!L10)</f>
        <v>0</v>
      </c>
      <c r="H18" s="414"/>
      <c r="J18" s="414"/>
    </row>
    <row r="19" spans="1:10" ht="12.75">
      <c r="A19" s="847" t="s">
        <v>481</v>
      </c>
      <c r="B19" s="858"/>
      <c r="C19" s="849">
        <f>SUM(C16,C17,C18)</f>
        <v>2055541</v>
      </c>
      <c r="D19" s="849">
        <f>SUM(D16,D17,D18)</f>
        <v>1604431</v>
      </c>
      <c r="E19" s="849">
        <f>SUM(E16,E17,E18)</f>
        <v>2256953</v>
      </c>
      <c r="F19" s="849">
        <f>SUM(F16,F17,F18)</f>
        <v>1492453</v>
      </c>
      <c r="G19" s="849">
        <f>SUM(G16,G17,G18)</f>
        <v>1336369</v>
      </c>
      <c r="H19" s="414"/>
      <c r="J19" s="414"/>
    </row>
    <row r="20" spans="1:7" ht="12.75">
      <c r="A20" s="859"/>
      <c r="B20" s="845"/>
      <c r="C20" s="846"/>
      <c r="D20" s="846"/>
      <c r="E20" s="846"/>
      <c r="F20" s="860"/>
      <c r="G20" s="846"/>
    </row>
    <row r="21" spans="1:7" ht="12.75">
      <c r="A21" s="1482" t="s">
        <v>482</v>
      </c>
      <c r="B21" s="1482"/>
      <c r="C21" s="861">
        <f>SUM(C13-C19)</f>
        <v>203860</v>
      </c>
      <c r="D21" s="861">
        <f>SUM(D13-D19)</f>
        <v>0</v>
      </c>
      <c r="E21" s="861">
        <f>SUM(E13-E19)</f>
        <v>0</v>
      </c>
      <c r="F21" s="861">
        <f>SUM(F13-F19)</f>
        <v>0</v>
      </c>
      <c r="G21" s="861">
        <f>SUM(G13-G19)</f>
        <v>149084</v>
      </c>
    </row>
    <row r="24" spans="1:7" ht="12.75">
      <c r="A24" s="826" t="s">
        <v>483</v>
      </c>
      <c r="B24" s="827"/>
      <c r="C24" s="1483" t="s">
        <v>473</v>
      </c>
      <c r="D24" s="1483"/>
      <c r="E24" s="1483"/>
      <c r="F24" s="1483"/>
      <c r="G24" s="1483"/>
    </row>
    <row r="25" spans="1:7" ht="12.75">
      <c r="A25" s="828"/>
      <c r="B25" s="829"/>
      <c r="C25" s="830">
        <v>2012</v>
      </c>
      <c r="D25" s="830">
        <v>2013</v>
      </c>
      <c r="E25" s="830">
        <v>2014</v>
      </c>
      <c r="F25" s="831">
        <v>2015</v>
      </c>
      <c r="G25" s="831">
        <v>2016</v>
      </c>
    </row>
    <row r="26" spans="1:7" ht="12.75">
      <c r="A26" s="828"/>
      <c r="B26" s="829"/>
      <c r="C26" s="832" t="s">
        <v>209</v>
      </c>
      <c r="D26" s="832" t="s">
        <v>209</v>
      </c>
      <c r="E26" s="832" t="s">
        <v>209</v>
      </c>
      <c r="F26" s="832" t="s">
        <v>209</v>
      </c>
      <c r="G26" s="832" t="s">
        <v>209</v>
      </c>
    </row>
    <row r="27" spans="1:7" ht="12.75">
      <c r="A27" s="833"/>
      <c r="B27" s="834"/>
      <c r="C27" s="862">
        <v>-2</v>
      </c>
      <c r="D27" s="862">
        <v>-1</v>
      </c>
      <c r="E27" s="862">
        <v>1</v>
      </c>
      <c r="F27" s="836">
        <v>2</v>
      </c>
      <c r="G27" s="836">
        <v>3</v>
      </c>
    </row>
    <row r="28" spans="1:7" ht="12.75">
      <c r="A28" s="1484" t="s">
        <v>1</v>
      </c>
      <c r="B28" s="1484"/>
      <c r="C28" s="863">
        <f>C10</f>
        <v>1291907</v>
      </c>
      <c r="D28" s="864">
        <f>D10</f>
        <v>1485506</v>
      </c>
      <c r="E28" s="864">
        <f>E10</f>
        <v>1518953</v>
      </c>
      <c r="F28" s="864">
        <f>F10</f>
        <v>1492453</v>
      </c>
      <c r="G28" s="865">
        <f>G10</f>
        <v>1485453</v>
      </c>
    </row>
    <row r="29" spans="1:7" ht="12.75">
      <c r="A29" s="1485" t="s">
        <v>478</v>
      </c>
      <c r="B29" s="1485"/>
      <c r="C29" s="866">
        <f>SUM(C16)</f>
        <v>1266696</v>
      </c>
      <c r="D29" s="867">
        <f>D16</f>
        <v>1369188</v>
      </c>
      <c r="E29" s="867">
        <f>E16</f>
        <v>1378249</v>
      </c>
      <c r="F29" s="867">
        <f>F16</f>
        <v>1302169</v>
      </c>
      <c r="G29" s="868">
        <f>G16</f>
        <v>1336369</v>
      </c>
    </row>
    <row r="30" spans="1:7" ht="12.75">
      <c r="A30" s="1486" t="s">
        <v>484</v>
      </c>
      <c r="B30" s="1486"/>
      <c r="C30" s="869">
        <f>C28-C29</f>
        <v>25211</v>
      </c>
      <c r="D30" s="870">
        <f>D28-D29</f>
        <v>116318</v>
      </c>
      <c r="E30" s="870">
        <f>E28-E29</f>
        <v>140704</v>
      </c>
      <c r="F30" s="870">
        <f>F28-F29</f>
        <v>190284</v>
      </c>
      <c r="G30" s="871">
        <f>G28-G29</f>
        <v>149084</v>
      </c>
    </row>
    <row r="31" spans="1:7" ht="12.75">
      <c r="A31" s="1487"/>
      <c r="B31" s="1487"/>
      <c r="C31" s="872"/>
      <c r="D31" s="872"/>
      <c r="E31" s="412"/>
      <c r="F31" s="412"/>
      <c r="G31" s="873"/>
    </row>
    <row r="32" spans="1:7" ht="12.75">
      <c r="A32" s="1488" t="s">
        <v>83</v>
      </c>
      <c r="B32" s="1488"/>
      <c r="C32" s="874">
        <f>C11</f>
        <v>720865</v>
      </c>
      <c r="D32" s="875">
        <f>D11</f>
        <v>118925</v>
      </c>
      <c r="E32" s="876">
        <f>SUM(E11)</f>
        <v>738000</v>
      </c>
      <c r="F32" s="876">
        <f>SUM(F11)</f>
        <v>0</v>
      </c>
      <c r="G32" s="877">
        <f>SUM(G11)</f>
        <v>0</v>
      </c>
    </row>
    <row r="33" spans="1:7" ht="12.75">
      <c r="A33" s="1485" t="s">
        <v>479</v>
      </c>
      <c r="B33" s="1485"/>
      <c r="C33" s="878">
        <f>C17</f>
        <v>594050</v>
      </c>
      <c r="D33" s="879">
        <f>D17</f>
        <v>55506</v>
      </c>
      <c r="E33" s="880">
        <f>SUM(E17)</f>
        <v>723500</v>
      </c>
      <c r="F33" s="880">
        <f>SUM(F17)</f>
        <v>159834.77</v>
      </c>
      <c r="G33" s="881">
        <f>SUM(G17)</f>
        <v>0</v>
      </c>
    </row>
    <row r="34" spans="1:7" ht="12.75">
      <c r="A34" s="1486" t="s">
        <v>484</v>
      </c>
      <c r="B34" s="1486"/>
      <c r="C34" s="882">
        <f>C32-C33</f>
        <v>126815</v>
      </c>
      <c r="D34" s="883">
        <f>D32-D33</f>
        <v>63419</v>
      </c>
      <c r="E34" s="883">
        <f>E32-E33</f>
        <v>14500</v>
      </c>
      <c r="F34" s="883">
        <f>F32-F33</f>
        <v>-159834.77</v>
      </c>
      <c r="G34" s="884">
        <f>G32-G33</f>
        <v>0</v>
      </c>
    </row>
    <row r="35" spans="1:7" ht="12.75">
      <c r="A35" s="1487"/>
      <c r="B35" s="1487"/>
      <c r="C35" s="872"/>
      <c r="D35" s="872"/>
      <c r="E35" s="412"/>
      <c r="F35" s="412"/>
      <c r="G35" s="873"/>
    </row>
    <row r="36" spans="1:7" ht="12.75">
      <c r="A36" s="1488" t="s">
        <v>94</v>
      </c>
      <c r="B36" s="1488"/>
      <c r="C36" s="874">
        <f>C12</f>
        <v>246629</v>
      </c>
      <c r="D36" s="875">
        <f>D12</f>
        <v>0</v>
      </c>
      <c r="E36" s="876">
        <f>SUM(E12)</f>
        <v>0</v>
      </c>
      <c r="F36" s="876">
        <f>F12</f>
        <v>0</v>
      </c>
      <c r="G36" s="877">
        <f>SUM(G12)</f>
        <v>0</v>
      </c>
    </row>
    <row r="37" spans="1:7" ht="12.75">
      <c r="A37" s="1485" t="s">
        <v>485</v>
      </c>
      <c r="B37" s="1485"/>
      <c r="C37" s="878">
        <f>C18</f>
        <v>194795</v>
      </c>
      <c r="D37" s="879">
        <f>D18</f>
        <v>179737</v>
      </c>
      <c r="E37" s="880">
        <f>SUM(E18)</f>
        <v>155204</v>
      </c>
      <c r="F37" s="880">
        <f>F18</f>
        <v>30449.23</v>
      </c>
      <c r="G37" s="881">
        <f>SUM(G18)</f>
        <v>0</v>
      </c>
    </row>
    <row r="38" spans="1:7" ht="12.75">
      <c r="A38" s="1486" t="s">
        <v>484</v>
      </c>
      <c r="B38" s="1486"/>
      <c r="C38" s="882">
        <f>C36-C37</f>
        <v>51834</v>
      </c>
      <c r="D38" s="883">
        <f>D36-D37</f>
        <v>-179737</v>
      </c>
      <c r="E38" s="883">
        <f>E36-E37</f>
        <v>-155204</v>
      </c>
      <c r="F38" s="883">
        <f>F36-F37</f>
        <v>-30449.23</v>
      </c>
      <c r="G38" s="884">
        <f>G36-G37</f>
        <v>0</v>
      </c>
    </row>
    <row r="39" spans="1:7" ht="12.75">
      <c r="A39" s="1487"/>
      <c r="B39" s="1487"/>
      <c r="C39" s="412"/>
      <c r="D39" s="412"/>
      <c r="E39" s="412"/>
      <c r="F39" s="412"/>
      <c r="G39" s="873"/>
    </row>
    <row r="40" spans="1:7" ht="12.75">
      <c r="A40" s="1488" t="s">
        <v>486</v>
      </c>
      <c r="B40" s="1488"/>
      <c r="C40" s="874">
        <f>C13</f>
        <v>2259401</v>
      </c>
      <c r="D40" s="875">
        <f>D13</f>
        <v>1604431</v>
      </c>
      <c r="E40" s="876">
        <f>SUM(E13)</f>
        <v>2256953</v>
      </c>
      <c r="F40" s="876">
        <f>F13</f>
        <v>1492453</v>
      </c>
      <c r="G40" s="877">
        <f>G13</f>
        <v>1485453</v>
      </c>
    </row>
    <row r="41" spans="1:7" ht="12.75">
      <c r="A41" s="1485" t="s">
        <v>487</v>
      </c>
      <c r="B41" s="1485"/>
      <c r="C41" s="878">
        <f>C19</f>
        <v>2055541</v>
      </c>
      <c r="D41" s="879">
        <f>D19</f>
        <v>1604431</v>
      </c>
      <c r="E41" s="880">
        <f>SUM(E19)</f>
        <v>2256953</v>
      </c>
      <c r="F41" s="880">
        <f>F19</f>
        <v>1492453</v>
      </c>
      <c r="G41" s="881">
        <f>G19</f>
        <v>1336369</v>
      </c>
    </row>
    <row r="42" spans="1:7" ht="12.75">
      <c r="A42" s="1489" t="s">
        <v>484</v>
      </c>
      <c r="B42" s="1489"/>
      <c r="C42" s="885">
        <f>C40-C41</f>
        <v>203860</v>
      </c>
      <c r="D42" s="886">
        <f>D40-D41</f>
        <v>0</v>
      </c>
      <c r="E42" s="886">
        <f>E40-E41</f>
        <v>0</v>
      </c>
      <c r="F42" s="886">
        <f>F40-F41</f>
        <v>0</v>
      </c>
      <c r="G42" s="887">
        <f>G40-G41</f>
        <v>149084</v>
      </c>
    </row>
  </sheetData>
  <mergeCells count="20"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C24:G24"/>
    <mergeCell ref="A28:B28"/>
    <mergeCell ref="A29:B29"/>
    <mergeCell ref="A30:B30"/>
    <mergeCell ref="A1:G1"/>
    <mergeCell ref="A2:G2"/>
    <mergeCell ref="C5:G5"/>
    <mergeCell ref="A21:B21"/>
  </mergeCells>
  <printOptions/>
  <pageMargins left="0.5902777777777778" right="0.39375" top="0.7875" bottom="0.787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23">
      <selection activeCell="G50" sqref="G50"/>
    </sheetView>
  </sheetViews>
  <sheetFormatPr defaultColWidth="9.140625" defaultRowHeight="12.75"/>
  <cols>
    <col min="1" max="1" width="10.00390625" style="0" customWidth="1"/>
    <col min="6" max="8" width="9.140625" style="414" customWidth="1"/>
    <col min="9" max="9" width="12.140625" style="0" customWidth="1"/>
  </cols>
  <sheetData>
    <row r="2" spans="1:9" ht="12.75">
      <c r="A2" s="1490" t="s">
        <v>488</v>
      </c>
      <c r="B2" s="1490"/>
      <c r="C2" s="1490"/>
      <c r="D2" s="1490"/>
      <c r="E2" s="1490"/>
      <c r="F2" s="1490"/>
      <c r="G2" s="1490"/>
      <c r="H2" s="1490"/>
      <c r="I2" s="1490"/>
    </row>
    <row r="3" spans="1:9" ht="12.75">
      <c r="A3" s="888"/>
      <c r="B3" s="888"/>
      <c r="C3" s="888"/>
      <c r="D3" s="888"/>
      <c r="E3" s="888"/>
      <c r="F3" s="889"/>
      <c r="G3" s="889"/>
      <c r="H3" s="889"/>
      <c r="I3" s="888"/>
    </row>
    <row r="4" spans="1:9" ht="12.75">
      <c r="A4" s="888"/>
      <c r="B4" s="888"/>
      <c r="C4" s="888"/>
      <c r="D4" s="888"/>
      <c r="E4" s="888"/>
      <c r="F4" s="889"/>
      <c r="G4" s="889"/>
      <c r="H4" s="889"/>
      <c r="I4" s="888"/>
    </row>
    <row r="5" spans="6:9" ht="12.75">
      <c r="F5" s="1491">
        <v>2013</v>
      </c>
      <c r="G5" s="1491">
        <v>2014</v>
      </c>
      <c r="H5" s="1492" t="s">
        <v>484</v>
      </c>
      <c r="I5" s="1492"/>
    </row>
    <row r="6" spans="6:9" ht="12.75">
      <c r="F6" s="1491"/>
      <c r="G6" s="1491"/>
      <c r="H6" s="891" t="s">
        <v>489</v>
      </c>
      <c r="I6" s="890" t="s">
        <v>490</v>
      </c>
    </row>
    <row r="7" spans="1:9" s="674" customFormat="1" ht="12.75">
      <c r="A7" s="1493" t="s">
        <v>491</v>
      </c>
      <c r="B7" s="892" t="s">
        <v>492</v>
      </c>
      <c r="C7" s="892"/>
      <c r="D7" s="892"/>
      <c r="E7" s="893"/>
      <c r="F7" s="894">
        <f>SUM(F8,F9,F10)</f>
        <v>366855</v>
      </c>
      <c r="G7" s="894">
        <f>SUM(G8,G9,G10)</f>
        <v>323643</v>
      </c>
      <c r="H7" s="894">
        <f aca="true" t="shared" si="0" ref="H7:H50">G7-F7</f>
        <v>-43212</v>
      </c>
      <c r="I7" s="895">
        <f>H7/F7*100</f>
        <v>-11.779040765425032</v>
      </c>
    </row>
    <row r="8" spans="1:9" ht="12.75">
      <c r="A8" s="1493"/>
      <c r="B8" s="896" t="s">
        <v>493</v>
      </c>
      <c r="C8" s="897"/>
      <c r="D8" s="897"/>
      <c r="E8" s="898"/>
      <c r="F8" s="876">
        <v>187118</v>
      </c>
      <c r="G8" s="876">
        <v>193165</v>
      </c>
      <c r="H8" s="876">
        <f t="shared" si="0"/>
        <v>6047</v>
      </c>
      <c r="I8" s="899">
        <f>H8/F8*100</f>
        <v>3.2316506161887153</v>
      </c>
    </row>
    <row r="9" spans="1:9" ht="12.75">
      <c r="A9" s="1493"/>
      <c r="B9" s="900" t="s">
        <v>494</v>
      </c>
      <c r="C9" s="901"/>
      <c r="D9" s="902"/>
      <c r="E9" s="903"/>
      <c r="F9" s="880">
        <v>0</v>
      </c>
      <c r="G9" s="880">
        <v>0</v>
      </c>
      <c r="H9" s="880">
        <f t="shared" si="0"/>
        <v>0</v>
      </c>
      <c r="I9" s="904"/>
    </row>
    <row r="10" spans="1:9" ht="12.75">
      <c r="A10" s="1493"/>
      <c r="B10" s="905" t="s">
        <v>495</v>
      </c>
      <c r="C10" s="906"/>
      <c r="D10" s="906"/>
      <c r="E10" s="907"/>
      <c r="F10" s="908">
        <v>179737</v>
      </c>
      <c r="G10" s="908">
        <v>130478</v>
      </c>
      <c r="H10" s="908">
        <f t="shared" si="0"/>
        <v>-49259</v>
      </c>
      <c r="I10" s="909">
        <f>H10/F10*100</f>
        <v>-27.406154548034074</v>
      </c>
    </row>
    <row r="11" spans="1:9" s="674" customFormat="1" ht="12.75">
      <c r="A11" s="1493" t="s">
        <v>496</v>
      </c>
      <c r="B11" s="892" t="s">
        <v>497</v>
      </c>
      <c r="C11" s="892"/>
      <c r="D11" s="892"/>
      <c r="E11" s="893"/>
      <c r="F11" s="894">
        <f>SUM(F12,F13,F14)</f>
        <v>1000</v>
      </c>
      <c r="G11" s="894">
        <f>SUM(G12,G13,G14)</f>
        <v>1100</v>
      </c>
      <c r="H11" s="894">
        <f t="shared" si="0"/>
        <v>100</v>
      </c>
      <c r="I11" s="895">
        <f>H11/F11*100</f>
        <v>10</v>
      </c>
    </row>
    <row r="12" spans="1:9" ht="12.75">
      <c r="A12" s="1493"/>
      <c r="B12" s="896" t="s">
        <v>493</v>
      </c>
      <c r="C12" s="897"/>
      <c r="D12" s="897"/>
      <c r="E12" s="898"/>
      <c r="F12" s="876">
        <v>1000</v>
      </c>
      <c r="G12" s="876">
        <v>1100</v>
      </c>
      <c r="H12" s="876">
        <f t="shared" si="0"/>
        <v>100</v>
      </c>
      <c r="I12" s="899">
        <f>H12/F12*100</f>
        <v>10</v>
      </c>
    </row>
    <row r="13" spans="1:9" ht="12.75">
      <c r="A13" s="1493"/>
      <c r="B13" s="900" t="s">
        <v>494</v>
      </c>
      <c r="C13" s="901"/>
      <c r="D13" s="902"/>
      <c r="E13" s="903"/>
      <c r="F13" s="880">
        <v>0</v>
      </c>
      <c r="G13" s="880">
        <v>0</v>
      </c>
      <c r="H13" s="880">
        <f t="shared" si="0"/>
        <v>0</v>
      </c>
      <c r="I13" s="904">
        <v>0</v>
      </c>
    </row>
    <row r="14" spans="1:9" ht="12.75">
      <c r="A14" s="1493"/>
      <c r="B14" s="905" t="s">
        <v>495</v>
      </c>
      <c r="C14" s="906"/>
      <c r="D14" s="906"/>
      <c r="E14" s="907"/>
      <c r="F14" s="908">
        <v>0</v>
      </c>
      <c r="G14" s="908">
        <v>0</v>
      </c>
      <c r="H14" s="908">
        <f t="shared" si="0"/>
        <v>0</v>
      </c>
      <c r="I14" s="909">
        <v>0</v>
      </c>
    </row>
    <row r="15" spans="1:9" s="674" customFormat="1" ht="12.75">
      <c r="A15" s="1493" t="s">
        <v>498</v>
      </c>
      <c r="B15" s="892" t="s">
        <v>499</v>
      </c>
      <c r="C15" s="892"/>
      <c r="D15" s="892"/>
      <c r="E15" s="893"/>
      <c r="F15" s="894">
        <f>SUM(F16,F17,F18)</f>
        <v>63728</v>
      </c>
      <c r="G15" s="894">
        <f>SUM(G16,G17,G18)</f>
        <v>63680</v>
      </c>
      <c r="H15" s="894">
        <f t="shared" si="0"/>
        <v>-48</v>
      </c>
      <c r="I15" s="895">
        <f>H15/F15*100</f>
        <v>-0.07532011046949535</v>
      </c>
    </row>
    <row r="16" spans="1:9" ht="12.75">
      <c r="A16" s="1493"/>
      <c r="B16" s="896" t="s">
        <v>493</v>
      </c>
      <c r="C16" s="897"/>
      <c r="D16" s="897"/>
      <c r="E16" s="898"/>
      <c r="F16" s="876">
        <v>57728</v>
      </c>
      <c r="G16" s="876">
        <v>57680</v>
      </c>
      <c r="H16" s="876">
        <f t="shared" si="0"/>
        <v>-48</v>
      </c>
      <c r="I16" s="899">
        <f>H16/F16*100</f>
        <v>-0.08314855875831485</v>
      </c>
    </row>
    <row r="17" spans="1:9" ht="12.75">
      <c r="A17" s="1493"/>
      <c r="B17" s="900" t="s">
        <v>494</v>
      </c>
      <c r="C17" s="901"/>
      <c r="D17" s="902"/>
      <c r="E17" s="903"/>
      <c r="F17" s="880">
        <v>6000</v>
      </c>
      <c r="G17" s="880">
        <v>6000</v>
      </c>
      <c r="H17" s="880">
        <f t="shared" si="0"/>
        <v>0</v>
      </c>
      <c r="I17" s="904">
        <f>H17/F17*100</f>
        <v>0</v>
      </c>
    </row>
    <row r="18" spans="1:9" ht="12.75">
      <c r="A18" s="1493"/>
      <c r="B18" s="905" t="s">
        <v>495</v>
      </c>
      <c r="C18" s="906"/>
      <c r="D18" s="906"/>
      <c r="E18" s="907"/>
      <c r="F18" s="908">
        <v>0</v>
      </c>
      <c r="G18" s="908">
        <v>0</v>
      </c>
      <c r="H18" s="908">
        <f t="shared" si="0"/>
        <v>0</v>
      </c>
      <c r="I18" s="909">
        <v>0</v>
      </c>
    </row>
    <row r="19" spans="1:9" s="674" customFormat="1" ht="12.75">
      <c r="A19" s="1493" t="s">
        <v>500</v>
      </c>
      <c r="B19" s="892" t="s">
        <v>501</v>
      </c>
      <c r="C19" s="892"/>
      <c r="D19" s="892"/>
      <c r="E19" s="893"/>
      <c r="F19" s="894">
        <f>SUM(F20,F21,F22)</f>
        <v>132120</v>
      </c>
      <c r="G19" s="894">
        <f>SUM(G20,G21,G22)</f>
        <v>123570</v>
      </c>
      <c r="H19" s="894">
        <f t="shared" si="0"/>
        <v>-8550</v>
      </c>
      <c r="I19" s="895">
        <f>H19/F19*100</f>
        <v>-6.471389645776567</v>
      </c>
    </row>
    <row r="20" spans="1:9" ht="12.75">
      <c r="A20" s="1493"/>
      <c r="B20" s="896" t="s">
        <v>493</v>
      </c>
      <c r="C20" s="897"/>
      <c r="D20" s="897"/>
      <c r="E20" s="898"/>
      <c r="F20" s="876">
        <v>132120</v>
      </c>
      <c r="G20" s="876">
        <v>123570</v>
      </c>
      <c r="H20" s="876">
        <f t="shared" si="0"/>
        <v>-8550</v>
      </c>
      <c r="I20" s="899">
        <f>H20/F20*100</f>
        <v>-6.471389645776567</v>
      </c>
    </row>
    <row r="21" spans="1:9" ht="12.75">
      <c r="A21" s="1493"/>
      <c r="B21" s="900" t="s">
        <v>494</v>
      </c>
      <c r="C21" s="901"/>
      <c r="D21" s="902"/>
      <c r="E21" s="903"/>
      <c r="F21" s="880">
        <v>0</v>
      </c>
      <c r="G21" s="880">
        <v>0</v>
      </c>
      <c r="H21" s="880">
        <f t="shared" si="0"/>
        <v>0</v>
      </c>
      <c r="I21" s="904">
        <v>0</v>
      </c>
    </row>
    <row r="22" spans="1:9" ht="12.75">
      <c r="A22" s="1493"/>
      <c r="B22" s="905" t="s">
        <v>495</v>
      </c>
      <c r="C22" s="906"/>
      <c r="D22" s="906"/>
      <c r="E22" s="907"/>
      <c r="F22" s="908">
        <v>0</v>
      </c>
      <c r="G22" s="908">
        <v>0</v>
      </c>
      <c r="H22" s="908">
        <f t="shared" si="0"/>
        <v>0</v>
      </c>
      <c r="I22" s="909">
        <v>0</v>
      </c>
    </row>
    <row r="23" spans="1:9" s="674" customFormat="1" ht="12.75">
      <c r="A23" s="1493" t="s">
        <v>502</v>
      </c>
      <c r="B23" s="892" t="s">
        <v>503</v>
      </c>
      <c r="C23" s="892"/>
      <c r="D23" s="892"/>
      <c r="E23" s="893"/>
      <c r="F23" s="894">
        <f>SUM(F24,F25,F26)</f>
        <v>108038</v>
      </c>
      <c r="G23" s="894">
        <f>SUM(G24,G25,G26)</f>
        <v>563800</v>
      </c>
      <c r="H23" s="894">
        <f t="shared" si="0"/>
        <v>455762</v>
      </c>
      <c r="I23" s="895">
        <f>H23/F23*100</f>
        <v>421.8534219441308</v>
      </c>
    </row>
    <row r="24" spans="1:9" ht="12.75">
      <c r="A24" s="1493"/>
      <c r="B24" s="896" t="s">
        <v>493</v>
      </c>
      <c r="C24" s="897"/>
      <c r="D24" s="897"/>
      <c r="E24" s="898"/>
      <c r="F24" s="876">
        <v>84938</v>
      </c>
      <c r="G24" s="876">
        <v>96300</v>
      </c>
      <c r="H24" s="876">
        <f t="shared" si="0"/>
        <v>11362</v>
      </c>
      <c r="I24" s="899">
        <f>H24/F24*100</f>
        <v>13.376816030516379</v>
      </c>
    </row>
    <row r="25" spans="1:9" ht="12.75">
      <c r="A25" s="1493"/>
      <c r="B25" s="900" t="s">
        <v>494</v>
      </c>
      <c r="C25" s="901"/>
      <c r="D25" s="902"/>
      <c r="E25" s="903"/>
      <c r="F25" s="880">
        <v>23100</v>
      </c>
      <c r="G25" s="880">
        <v>467500</v>
      </c>
      <c r="H25" s="880">
        <f t="shared" si="0"/>
        <v>444400</v>
      </c>
      <c r="I25" s="904">
        <v>0</v>
      </c>
    </row>
    <row r="26" spans="1:9" ht="12.75">
      <c r="A26" s="1493"/>
      <c r="B26" s="905" t="s">
        <v>495</v>
      </c>
      <c r="C26" s="906"/>
      <c r="D26" s="906"/>
      <c r="E26" s="907"/>
      <c r="F26" s="908">
        <v>0</v>
      </c>
      <c r="G26" s="908">
        <v>0</v>
      </c>
      <c r="H26" s="908">
        <f t="shared" si="0"/>
        <v>0</v>
      </c>
      <c r="I26" s="909">
        <v>0</v>
      </c>
    </row>
    <row r="27" spans="1:9" s="674" customFormat="1" ht="12.75">
      <c r="A27" s="1493" t="s">
        <v>504</v>
      </c>
      <c r="B27" s="892" t="s">
        <v>505</v>
      </c>
      <c r="C27" s="892"/>
      <c r="D27" s="892"/>
      <c r="E27" s="893"/>
      <c r="F27" s="894">
        <f>SUM(F28,F29,F30)</f>
        <v>57800</v>
      </c>
      <c r="G27" s="894">
        <f>SUM(G28,G29,G30)</f>
        <v>77984</v>
      </c>
      <c r="H27" s="894">
        <f t="shared" si="0"/>
        <v>20184</v>
      </c>
      <c r="I27" s="895">
        <f>H27/F27*100</f>
        <v>34.92041522491349</v>
      </c>
    </row>
    <row r="28" spans="1:9" ht="12.75">
      <c r="A28" s="1493"/>
      <c r="B28" s="896" t="s">
        <v>493</v>
      </c>
      <c r="C28" s="897"/>
      <c r="D28" s="897"/>
      <c r="E28" s="898"/>
      <c r="F28" s="876">
        <v>19844</v>
      </c>
      <c r="G28" s="876">
        <v>17984</v>
      </c>
      <c r="H28" s="876">
        <f t="shared" si="0"/>
        <v>-1860</v>
      </c>
      <c r="I28" s="899">
        <f>H28/F28*100</f>
        <v>-9.37311026002822</v>
      </c>
    </row>
    <row r="29" spans="1:9" ht="12.75">
      <c r="A29" s="1493"/>
      <c r="B29" s="900" t="s">
        <v>494</v>
      </c>
      <c r="C29" s="901"/>
      <c r="D29" s="902"/>
      <c r="E29" s="903"/>
      <c r="F29" s="880">
        <v>37956</v>
      </c>
      <c r="G29" s="880">
        <v>60000</v>
      </c>
      <c r="H29" s="880">
        <f t="shared" si="0"/>
        <v>22044</v>
      </c>
      <c r="I29" s="904">
        <f>H29/F29*100</f>
        <v>58.077774264938355</v>
      </c>
    </row>
    <row r="30" spans="1:9" ht="12.75">
      <c r="A30" s="1493"/>
      <c r="B30" s="905" t="s">
        <v>495</v>
      </c>
      <c r="C30" s="906"/>
      <c r="D30" s="906"/>
      <c r="E30" s="907"/>
      <c r="F30" s="908">
        <v>0</v>
      </c>
      <c r="G30" s="908">
        <v>0</v>
      </c>
      <c r="H30" s="908">
        <f t="shared" si="0"/>
        <v>0</v>
      </c>
      <c r="I30" s="909">
        <v>0</v>
      </c>
    </row>
    <row r="31" spans="1:9" s="674" customFormat="1" ht="12.75">
      <c r="A31" s="1493" t="s">
        <v>506</v>
      </c>
      <c r="B31" s="892" t="s">
        <v>507</v>
      </c>
      <c r="C31" s="892"/>
      <c r="D31" s="892"/>
      <c r="E31" s="893"/>
      <c r="F31" s="894">
        <f>SUM(F32,F33,F34)</f>
        <v>28250</v>
      </c>
      <c r="G31" s="894">
        <f>SUM(G32,G33,G34)</f>
        <v>18500</v>
      </c>
      <c r="H31" s="894">
        <f t="shared" si="0"/>
        <v>-9750</v>
      </c>
      <c r="I31" s="895">
        <f>H31/F31*100</f>
        <v>-34.51327433628318</v>
      </c>
    </row>
    <row r="32" spans="1:9" ht="12.75">
      <c r="A32" s="1493"/>
      <c r="B32" s="896" t="s">
        <v>493</v>
      </c>
      <c r="C32" s="897"/>
      <c r="D32" s="897"/>
      <c r="E32" s="898"/>
      <c r="F32" s="876">
        <v>28250</v>
      </c>
      <c r="G32" s="876">
        <v>18500</v>
      </c>
      <c r="H32" s="876">
        <f t="shared" si="0"/>
        <v>-9750</v>
      </c>
      <c r="I32" s="899">
        <f>H32/F32*100</f>
        <v>-34.51327433628318</v>
      </c>
    </row>
    <row r="33" spans="1:9" ht="12.75">
      <c r="A33" s="1493"/>
      <c r="B33" s="900" t="s">
        <v>494</v>
      </c>
      <c r="C33" s="901"/>
      <c r="D33" s="902"/>
      <c r="E33" s="903"/>
      <c r="F33" s="880">
        <v>0</v>
      </c>
      <c r="G33" s="880">
        <v>0</v>
      </c>
      <c r="H33" s="880">
        <f t="shared" si="0"/>
        <v>0</v>
      </c>
      <c r="I33" s="904">
        <v>0</v>
      </c>
    </row>
    <row r="34" spans="1:9" ht="12.75">
      <c r="A34" s="1493"/>
      <c r="B34" s="905" t="s">
        <v>495</v>
      </c>
      <c r="C34" s="906"/>
      <c r="D34" s="906"/>
      <c r="E34" s="907"/>
      <c r="F34" s="908">
        <v>0</v>
      </c>
      <c r="G34" s="908">
        <v>0</v>
      </c>
      <c r="H34" s="908">
        <f t="shared" si="0"/>
        <v>0</v>
      </c>
      <c r="I34" s="909">
        <v>0</v>
      </c>
    </row>
    <row r="35" spans="1:9" s="674" customFormat="1" ht="12.75">
      <c r="A35" s="1493" t="s">
        <v>508</v>
      </c>
      <c r="B35" s="892" t="s">
        <v>509</v>
      </c>
      <c r="C35" s="892"/>
      <c r="D35" s="892"/>
      <c r="E35" s="893"/>
      <c r="F35" s="894">
        <f>SUM(F36,F37,F38)</f>
        <v>68270</v>
      </c>
      <c r="G35" s="894">
        <f>SUM(G36,G37,G38)</f>
        <v>67600</v>
      </c>
      <c r="H35" s="894">
        <f t="shared" si="0"/>
        <v>-670</v>
      </c>
      <c r="I35" s="895">
        <f>H35/F35*100</f>
        <v>-0.9813973927054344</v>
      </c>
    </row>
    <row r="36" spans="1:9" ht="12.75">
      <c r="A36" s="1493"/>
      <c r="B36" s="896" t="s">
        <v>493</v>
      </c>
      <c r="C36" s="897"/>
      <c r="D36" s="897"/>
      <c r="E36" s="898"/>
      <c r="F36" s="876">
        <v>68270</v>
      </c>
      <c r="G36" s="876">
        <v>67600</v>
      </c>
      <c r="H36" s="876">
        <f t="shared" si="0"/>
        <v>-670</v>
      </c>
      <c r="I36" s="899">
        <f>H36/F36*100</f>
        <v>-0.9813973927054344</v>
      </c>
    </row>
    <row r="37" spans="1:9" ht="12.75">
      <c r="A37" s="1493"/>
      <c r="B37" s="900" t="s">
        <v>494</v>
      </c>
      <c r="C37" s="901"/>
      <c r="D37" s="902"/>
      <c r="E37" s="903"/>
      <c r="F37" s="880">
        <v>0</v>
      </c>
      <c r="G37" s="880">
        <v>0</v>
      </c>
      <c r="H37" s="880">
        <f t="shared" si="0"/>
        <v>0</v>
      </c>
      <c r="I37" s="904">
        <v>0</v>
      </c>
    </row>
    <row r="38" spans="1:9" ht="12.75">
      <c r="A38" s="1493"/>
      <c r="B38" s="905" t="s">
        <v>495</v>
      </c>
      <c r="C38" s="906"/>
      <c r="D38" s="906"/>
      <c r="E38" s="907"/>
      <c r="F38" s="908">
        <v>0</v>
      </c>
      <c r="G38" s="908">
        <v>0</v>
      </c>
      <c r="H38" s="908">
        <f t="shared" si="0"/>
        <v>0</v>
      </c>
      <c r="I38" s="909">
        <v>0</v>
      </c>
    </row>
    <row r="39" spans="1:9" s="674" customFormat="1" ht="12.75">
      <c r="A39" s="1493" t="s">
        <v>510</v>
      </c>
      <c r="B39" s="892" t="s">
        <v>511</v>
      </c>
      <c r="C39" s="892"/>
      <c r="D39" s="892"/>
      <c r="E39" s="893"/>
      <c r="F39" s="894">
        <f>SUM(F40,F41,F42)</f>
        <v>743335</v>
      </c>
      <c r="G39" s="894">
        <f>SUM(G40,G41,G42)</f>
        <v>751100</v>
      </c>
      <c r="H39" s="894">
        <f t="shared" si="0"/>
        <v>7765</v>
      </c>
      <c r="I39" s="895">
        <f>H39/F39*100</f>
        <v>1.044616491891274</v>
      </c>
    </row>
    <row r="40" spans="1:9" ht="12.75">
      <c r="A40" s="1493"/>
      <c r="B40" s="896" t="s">
        <v>493</v>
      </c>
      <c r="C40" s="897"/>
      <c r="D40" s="897"/>
      <c r="E40" s="898"/>
      <c r="F40" s="876">
        <v>743335</v>
      </c>
      <c r="G40" s="876">
        <v>751100</v>
      </c>
      <c r="H40" s="876">
        <f t="shared" si="0"/>
        <v>7765</v>
      </c>
      <c r="I40" s="899">
        <f>H40/F40*100</f>
        <v>1.044616491891274</v>
      </c>
    </row>
    <row r="41" spans="1:9" ht="12.75">
      <c r="A41" s="1493"/>
      <c r="B41" s="900" t="s">
        <v>494</v>
      </c>
      <c r="C41" s="901"/>
      <c r="D41" s="902"/>
      <c r="E41" s="903"/>
      <c r="F41" s="880">
        <v>0</v>
      </c>
      <c r="G41" s="880">
        <v>0</v>
      </c>
      <c r="H41" s="880">
        <f t="shared" si="0"/>
        <v>0</v>
      </c>
      <c r="I41" s="904">
        <v>0</v>
      </c>
    </row>
    <row r="42" spans="1:9" ht="12.75">
      <c r="A42" s="1493"/>
      <c r="B42" s="905" t="s">
        <v>495</v>
      </c>
      <c r="C42" s="906"/>
      <c r="D42" s="906"/>
      <c r="E42" s="907"/>
      <c r="F42" s="908">
        <v>0</v>
      </c>
      <c r="G42" s="908">
        <v>0</v>
      </c>
      <c r="H42" s="908">
        <f t="shared" si="0"/>
        <v>0</v>
      </c>
      <c r="I42" s="909">
        <v>0</v>
      </c>
    </row>
    <row r="43" spans="1:9" s="674" customFormat="1" ht="12.75">
      <c r="A43" s="1493" t="s">
        <v>512</v>
      </c>
      <c r="B43" s="892" t="s">
        <v>513</v>
      </c>
      <c r="C43" s="892"/>
      <c r="D43" s="892"/>
      <c r="E43" s="893"/>
      <c r="F43" s="894">
        <f>SUM(F44,F45,F46)</f>
        <v>46585</v>
      </c>
      <c r="G43" s="894">
        <f>SUM(G44,G45,G46)</f>
        <v>233100</v>
      </c>
      <c r="H43" s="894">
        <f t="shared" si="0"/>
        <v>186515</v>
      </c>
      <c r="I43" s="895">
        <f>H43/F43*100</f>
        <v>400.3756574004508</v>
      </c>
    </row>
    <row r="44" spans="1:9" ht="12.75">
      <c r="A44" s="1493"/>
      <c r="B44" s="896" t="s">
        <v>493</v>
      </c>
      <c r="C44" s="897"/>
      <c r="D44" s="897"/>
      <c r="E44" s="898"/>
      <c r="F44" s="876">
        <v>46585</v>
      </c>
      <c r="G44" s="876">
        <v>43100</v>
      </c>
      <c r="H44" s="876">
        <f t="shared" si="0"/>
        <v>-3485</v>
      </c>
      <c r="I44" s="899">
        <f>H44/F44*100</f>
        <v>-7.480948803262853</v>
      </c>
    </row>
    <row r="45" spans="1:9" ht="12.75">
      <c r="A45" s="1493"/>
      <c r="B45" s="900" t="s">
        <v>494</v>
      </c>
      <c r="C45" s="901"/>
      <c r="D45" s="902"/>
      <c r="E45" s="903"/>
      <c r="F45" s="880">
        <v>0</v>
      </c>
      <c r="G45" s="880">
        <v>190000</v>
      </c>
      <c r="H45" s="880">
        <f t="shared" si="0"/>
        <v>190000</v>
      </c>
      <c r="I45" s="904">
        <v>0</v>
      </c>
    </row>
    <row r="46" spans="1:9" ht="12.75">
      <c r="A46" s="1493"/>
      <c r="B46" s="905" t="s">
        <v>495</v>
      </c>
      <c r="C46" s="906"/>
      <c r="D46" s="906"/>
      <c r="E46" s="907"/>
      <c r="F46" s="908">
        <v>0</v>
      </c>
      <c r="G46" s="908">
        <v>0</v>
      </c>
      <c r="H46" s="908">
        <f t="shared" si="0"/>
        <v>0</v>
      </c>
      <c r="I46" s="909">
        <v>0</v>
      </c>
    </row>
    <row r="47" spans="1:9" ht="12.75">
      <c r="A47" s="1494" t="s">
        <v>514</v>
      </c>
      <c r="B47" s="910" t="s">
        <v>493</v>
      </c>
      <c r="C47" s="911"/>
      <c r="D47" s="911"/>
      <c r="E47" s="912"/>
      <c r="F47" s="913">
        <f aca="true" t="shared" si="1" ref="F47:G49">SUM(F8,F12,F16,F20,F24,F28,F32,F36,F40,F44)</f>
        <v>1369188</v>
      </c>
      <c r="G47" s="914">
        <f t="shared" si="1"/>
        <v>1370099</v>
      </c>
      <c r="H47" s="913">
        <f t="shared" si="0"/>
        <v>911</v>
      </c>
      <c r="I47" s="915">
        <f>H47/F47*100</f>
        <v>0.0665357861739951</v>
      </c>
    </row>
    <row r="48" spans="1:9" ht="12.75">
      <c r="A48" s="1494"/>
      <c r="B48" s="916" t="s">
        <v>494</v>
      </c>
      <c r="C48" s="917"/>
      <c r="D48" s="917"/>
      <c r="E48" s="918"/>
      <c r="F48" s="919">
        <v>55506</v>
      </c>
      <c r="G48" s="920">
        <f t="shared" si="1"/>
        <v>723500</v>
      </c>
      <c r="H48" s="919">
        <f t="shared" si="0"/>
        <v>667994</v>
      </c>
      <c r="I48" s="921">
        <f>H48/F48*100</f>
        <v>1203.4626887183367</v>
      </c>
    </row>
    <row r="49" spans="1:9" ht="12.75">
      <c r="A49" s="1494"/>
      <c r="B49" s="922" t="s">
        <v>495</v>
      </c>
      <c r="C49" s="923"/>
      <c r="D49" s="923"/>
      <c r="E49" s="924"/>
      <c r="F49" s="925">
        <f t="shared" si="1"/>
        <v>179737</v>
      </c>
      <c r="G49" s="926">
        <f t="shared" si="1"/>
        <v>130478</v>
      </c>
      <c r="H49" s="925">
        <f t="shared" si="0"/>
        <v>-49259</v>
      </c>
      <c r="I49" s="927">
        <f>H49/F49*100</f>
        <v>-27.406154548034074</v>
      </c>
    </row>
    <row r="50" spans="1:9" ht="12.75">
      <c r="A50" s="1494"/>
      <c r="B50" s="928" t="s">
        <v>515</v>
      </c>
      <c r="C50" s="929"/>
      <c r="D50" s="929"/>
      <c r="E50" s="930"/>
      <c r="F50" s="931">
        <f>SUM(F47,F48,F49)</f>
        <v>1604431</v>
      </c>
      <c r="G50" s="932">
        <f>SUM(G47,G48,G49)</f>
        <v>2224077</v>
      </c>
      <c r="H50" s="931">
        <f t="shared" si="0"/>
        <v>619646</v>
      </c>
      <c r="I50" s="933">
        <f>H50/F50*100</f>
        <v>38.6209191919129</v>
      </c>
    </row>
  </sheetData>
  <mergeCells count="15">
    <mergeCell ref="A39:A42"/>
    <mergeCell ref="A43:A46"/>
    <mergeCell ref="A47:A50"/>
    <mergeCell ref="A23:A26"/>
    <mergeCell ref="A27:A30"/>
    <mergeCell ref="A31:A34"/>
    <mergeCell ref="A35:A38"/>
    <mergeCell ref="A7:A10"/>
    <mergeCell ref="A11:A14"/>
    <mergeCell ref="A15:A18"/>
    <mergeCell ref="A19:A22"/>
    <mergeCell ref="A2:I2"/>
    <mergeCell ref="F5:F6"/>
    <mergeCell ref="G5:G6"/>
    <mergeCell ref="H5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62"/>
  <sheetViews>
    <sheetView workbookViewId="0" topLeftCell="A309">
      <selection activeCell="G324" sqref="G324"/>
    </sheetView>
  </sheetViews>
  <sheetFormatPr defaultColWidth="9.140625" defaultRowHeight="12.75"/>
  <cols>
    <col min="1" max="1" width="5.28125" style="47" customWidth="1"/>
    <col min="2" max="2" width="4.57421875" style="47" customWidth="1"/>
    <col min="3" max="3" width="39.57421875" style="47" customWidth="1"/>
    <col min="4" max="4" width="10.7109375" style="47" customWidth="1"/>
    <col min="5" max="7" width="10.7109375" style="934" customWidth="1"/>
    <col min="8" max="8" width="10.7109375" style="935" customWidth="1"/>
    <col min="9" max="13" width="10.7109375" style="51" customWidth="1"/>
    <col min="14" max="14" width="19.8515625" style="47" customWidth="1"/>
    <col min="15" max="15" width="9.140625" style="47" customWidth="1"/>
    <col min="16" max="16384" width="9.00390625" style="47" customWidth="1"/>
  </cols>
  <sheetData>
    <row r="1" spans="1:13" ht="15.75">
      <c r="A1" s="1495" t="s">
        <v>516</v>
      </c>
      <c r="B1" s="1495"/>
      <c r="C1" s="1495"/>
      <c r="D1" s="1495"/>
      <c r="E1" s="1495"/>
      <c r="F1" s="1495"/>
      <c r="G1" s="1495"/>
      <c r="H1" s="1495"/>
      <c r="I1" s="936"/>
      <c r="J1" s="936"/>
      <c r="K1" s="936"/>
      <c r="L1" s="936"/>
      <c r="M1" s="936"/>
    </row>
    <row r="3" spans="3:4" ht="12.75">
      <c r="C3" s="937" t="s">
        <v>478</v>
      </c>
      <c r="D3" s="937"/>
    </row>
    <row r="4" spans="6:13" ht="12.75">
      <c r="F4" s="1470" t="s">
        <v>517</v>
      </c>
      <c r="G4" s="1470"/>
      <c r="H4" s="1470"/>
      <c r="I4" s="349"/>
      <c r="J4" s="349"/>
      <c r="K4" s="349"/>
      <c r="L4" s="349"/>
      <c r="M4" s="349"/>
    </row>
    <row r="5" spans="1:7" ht="15.75" hidden="1">
      <c r="A5" s="1463"/>
      <c r="B5" s="1463"/>
      <c r="C5" s="1463"/>
      <c r="D5" s="1463"/>
      <c r="E5" s="1463"/>
      <c r="F5" s="938"/>
      <c r="G5" s="938" t="s">
        <v>489</v>
      </c>
    </row>
    <row r="6" spans="1:14" s="948" customFormat="1" ht="12.75">
      <c r="A6" s="939" t="s">
        <v>478</v>
      </c>
      <c r="B6" s="940"/>
      <c r="C6" s="941"/>
      <c r="D6" s="311">
        <v>2012</v>
      </c>
      <c r="E6" s="314">
        <v>2013</v>
      </c>
      <c r="F6" s="315">
        <v>2014</v>
      </c>
      <c r="G6" s="942">
        <v>2015</v>
      </c>
      <c r="H6" s="943">
        <v>2016</v>
      </c>
      <c r="I6" s="944"/>
      <c r="J6" s="71"/>
      <c r="K6" s="944"/>
      <c r="L6" s="945"/>
      <c r="M6" s="946"/>
      <c r="N6" s="947"/>
    </row>
    <row r="7" spans="1:14" s="48" customFormat="1" ht="12.75">
      <c r="A7" s="949" t="s">
        <v>518</v>
      </c>
      <c r="B7" s="950"/>
      <c r="C7" s="951"/>
      <c r="D7" s="952">
        <f>SUM(D8,D11,D12)</f>
        <v>159046.3</v>
      </c>
      <c r="E7" s="953">
        <f>E8+E11+E12+E9</f>
        <v>159048.9</v>
      </c>
      <c r="F7" s="954">
        <f>F8+F11+F12+F9</f>
        <v>165350</v>
      </c>
      <c r="G7" s="955">
        <f>G8+G11+G12</f>
        <v>143070</v>
      </c>
      <c r="H7" s="956">
        <f>H8+H11+H12</f>
        <v>143070</v>
      </c>
      <c r="I7" s="328"/>
      <c r="J7" s="328"/>
      <c r="K7" s="328"/>
      <c r="L7" s="957"/>
      <c r="M7" s="957"/>
      <c r="N7" s="958"/>
    </row>
    <row r="8" spans="1:13" s="178" customFormat="1" ht="11.25">
      <c r="A8" s="102">
        <v>610</v>
      </c>
      <c r="B8" s="959"/>
      <c r="C8" s="960" t="s">
        <v>519</v>
      </c>
      <c r="D8" s="961">
        <v>50000</v>
      </c>
      <c r="E8" s="961">
        <v>52000</v>
      </c>
      <c r="F8" s="319">
        <v>55000</v>
      </c>
      <c r="G8" s="962">
        <v>55000</v>
      </c>
      <c r="H8" s="963">
        <v>55000</v>
      </c>
      <c r="I8" s="286"/>
      <c r="J8" s="286"/>
      <c r="K8" s="286"/>
      <c r="M8" s="201"/>
    </row>
    <row r="9" spans="1:13" s="178" customFormat="1" ht="11.25">
      <c r="A9" s="964">
        <v>610</v>
      </c>
      <c r="B9" s="959"/>
      <c r="C9" s="965" t="s">
        <v>520</v>
      </c>
      <c r="D9" s="966">
        <v>353.73</v>
      </c>
      <c r="E9" s="967">
        <v>2729.9</v>
      </c>
      <c r="F9" s="968">
        <v>10000</v>
      </c>
      <c r="G9" s="969">
        <v>0</v>
      </c>
      <c r="H9" s="970">
        <v>0</v>
      </c>
      <c r="I9" s="286"/>
      <c r="J9" s="971"/>
      <c r="K9" s="286"/>
      <c r="L9" s="947"/>
      <c r="M9" s="201"/>
    </row>
    <row r="10" spans="1:13" s="178" customFormat="1" ht="11.25">
      <c r="A10" s="972">
        <v>625</v>
      </c>
      <c r="B10" s="973" t="s">
        <v>102</v>
      </c>
      <c r="C10" s="974" t="s">
        <v>521</v>
      </c>
      <c r="D10" s="975">
        <v>0</v>
      </c>
      <c r="E10" s="975">
        <v>0</v>
      </c>
      <c r="F10" s="976">
        <v>0</v>
      </c>
      <c r="G10" s="977">
        <v>0</v>
      </c>
      <c r="H10" s="978">
        <v>0</v>
      </c>
      <c r="I10" s="286"/>
      <c r="J10" s="286"/>
      <c r="K10" s="286"/>
      <c r="L10" s="947"/>
      <c r="M10" s="201"/>
    </row>
    <row r="11" spans="1:13" ht="12.75">
      <c r="A11" s="102">
        <v>620</v>
      </c>
      <c r="B11" s="103"/>
      <c r="C11" s="103" t="s">
        <v>227</v>
      </c>
      <c r="D11" s="979">
        <v>18000</v>
      </c>
      <c r="E11" s="979">
        <v>18500</v>
      </c>
      <c r="F11" s="321">
        <v>20000</v>
      </c>
      <c r="G11" s="980">
        <v>20000</v>
      </c>
      <c r="H11" s="368">
        <v>20000</v>
      </c>
      <c r="I11" s="286"/>
      <c r="J11" s="286"/>
      <c r="K11" s="286"/>
      <c r="L11" s="178"/>
      <c r="M11" s="201"/>
    </row>
    <row r="12" spans="1:15" s="51" customFormat="1" ht="12.75">
      <c r="A12" s="981">
        <v>630</v>
      </c>
      <c r="B12" s="982"/>
      <c r="C12" s="982" t="s">
        <v>404</v>
      </c>
      <c r="D12" s="983">
        <f>D13+D14+D16+D29+D36+D40+D48+D65</f>
        <v>91046.29999999999</v>
      </c>
      <c r="E12" s="983">
        <f>E13+E14+E16+E29+E36+E40+E48+E65</f>
        <v>85819</v>
      </c>
      <c r="F12" s="984">
        <f>F13+F14+F16+F29+F36+F40+F48+F65</f>
        <v>80350</v>
      </c>
      <c r="G12" s="985">
        <f>G13+G14+G16+G29+G36+G40+G48+G65</f>
        <v>68070</v>
      </c>
      <c r="H12" s="986">
        <f>H13+H14+H16+H29+H36+H40+H48+H65</f>
        <v>68070</v>
      </c>
      <c r="I12" s="346"/>
      <c r="J12" s="346"/>
      <c r="K12" s="346"/>
      <c r="L12" s="202"/>
      <c r="M12" s="202"/>
      <c r="O12" s="52"/>
    </row>
    <row r="13" spans="1:13" s="51" customFormat="1" ht="12.75">
      <c r="A13" s="987" t="s">
        <v>522</v>
      </c>
      <c r="B13" s="988"/>
      <c r="C13" s="988" t="s">
        <v>229</v>
      </c>
      <c r="D13" s="989">
        <v>20</v>
      </c>
      <c r="E13" s="989">
        <v>540</v>
      </c>
      <c r="F13" s="990">
        <v>200</v>
      </c>
      <c r="G13" s="991">
        <v>20</v>
      </c>
      <c r="H13" s="992">
        <v>20</v>
      </c>
      <c r="I13" s="286"/>
      <c r="J13" s="993"/>
      <c r="K13" s="286"/>
      <c r="L13" s="994"/>
      <c r="M13" s="995"/>
    </row>
    <row r="14" spans="1:13" s="51" customFormat="1" ht="12.75">
      <c r="A14" s="996">
        <v>632</v>
      </c>
      <c r="B14" s="997"/>
      <c r="C14" s="997" t="s">
        <v>523</v>
      </c>
      <c r="D14" s="989">
        <v>14000</v>
      </c>
      <c r="E14" s="989">
        <v>14000</v>
      </c>
      <c r="F14" s="990">
        <v>15000</v>
      </c>
      <c r="G14" s="991">
        <v>12000</v>
      </c>
      <c r="H14" s="992">
        <v>12000</v>
      </c>
      <c r="I14" s="286"/>
      <c r="J14" s="993"/>
      <c r="K14" s="286"/>
      <c r="L14" s="994"/>
      <c r="M14" s="995"/>
    </row>
    <row r="15" spans="1:13" s="1003" customFormat="1" ht="12.75">
      <c r="A15" s="998">
        <v>632</v>
      </c>
      <c r="B15" s="999" t="s">
        <v>524</v>
      </c>
      <c r="C15" s="1000"/>
      <c r="D15" s="975">
        <v>35</v>
      </c>
      <c r="E15" s="975">
        <v>0</v>
      </c>
      <c r="F15" s="976">
        <v>0</v>
      </c>
      <c r="G15" s="977">
        <v>0</v>
      </c>
      <c r="H15" s="978">
        <v>0</v>
      </c>
      <c r="I15" s="971"/>
      <c r="J15" s="971"/>
      <c r="K15" s="971"/>
      <c r="L15" s="1001"/>
      <c r="M15" s="1002"/>
    </row>
    <row r="16" spans="1:13" s="51" customFormat="1" ht="12.75">
      <c r="A16" s="1004">
        <v>633</v>
      </c>
      <c r="B16" s="1005"/>
      <c r="C16" s="1005" t="s">
        <v>525</v>
      </c>
      <c r="D16" s="1006">
        <f>SUM(D17,D18,D19,D20,D21,D23,D24,D25,D26,D27,D22)</f>
        <v>11600</v>
      </c>
      <c r="E16" s="1006">
        <f>SUM(E17,E18,E19,E20,E21,E23,E24,E25,E26,E27,E22)</f>
        <v>12050</v>
      </c>
      <c r="F16" s="1007">
        <f>SUM(F17,F18,F19,F20,F21,F23,F24,F25,F26,F27,F22)</f>
        <v>12900</v>
      </c>
      <c r="G16" s="1008">
        <f>SUM(G17,G18,G19,G20,G21,G23,G24,G25,G26,G27,G22)</f>
        <v>12000</v>
      </c>
      <c r="H16" s="1009">
        <f>SUM(H17,H18,H19,H20,H21,H23,H24,H25,H26,H27,H22)</f>
        <v>12000</v>
      </c>
      <c r="I16" s="1010"/>
      <c r="J16" s="1010"/>
      <c r="K16" s="1010"/>
      <c r="L16" s="1011"/>
      <c r="M16" s="1011"/>
    </row>
    <row r="17" spans="1:13" s="51" customFormat="1" ht="12.75">
      <c r="A17" s="1012">
        <v>633</v>
      </c>
      <c r="B17" s="1013" t="s">
        <v>104</v>
      </c>
      <c r="C17" s="1013" t="s">
        <v>526</v>
      </c>
      <c r="D17" s="979">
        <v>0</v>
      </c>
      <c r="E17" s="979">
        <v>0</v>
      </c>
      <c r="F17" s="321">
        <v>1000</v>
      </c>
      <c r="G17" s="980">
        <v>0</v>
      </c>
      <c r="H17" s="368">
        <v>0</v>
      </c>
      <c r="I17" s="286"/>
      <c r="J17" s="286"/>
      <c r="K17" s="286"/>
      <c r="L17" s="178"/>
      <c r="M17" s="201"/>
    </row>
    <row r="18" spans="1:13" ht="12.75">
      <c r="A18" s="102">
        <v>633</v>
      </c>
      <c r="B18" s="1014" t="s">
        <v>107</v>
      </c>
      <c r="C18" s="103" t="s">
        <v>527</v>
      </c>
      <c r="D18" s="979">
        <v>200</v>
      </c>
      <c r="E18" s="979">
        <v>100</v>
      </c>
      <c r="F18" s="321">
        <v>0</v>
      </c>
      <c r="G18" s="980">
        <v>200</v>
      </c>
      <c r="H18" s="368">
        <v>200</v>
      </c>
      <c r="I18" s="286"/>
      <c r="J18" s="286"/>
      <c r="K18" s="286"/>
      <c r="L18" s="178"/>
      <c r="M18" s="201"/>
    </row>
    <row r="19" spans="1:13" ht="12.75">
      <c r="A19" s="102">
        <v>633</v>
      </c>
      <c r="B19" s="1014" t="s">
        <v>135</v>
      </c>
      <c r="C19" s="103" t="s">
        <v>528</v>
      </c>
      <c r="D19" s="979">
        <v>0</v>
      </c>
      <c r="E19" s="979">
        <v>0</v>
      </c>
      <c r="F19" s="321">
        <v>0</v>
      </c>
      <c r="G19" s="980">
        <v>0</v>
      </c>
      <c r="H19" s="368">
        <v>0</v>
      </c>
      <c r="I19" s="286"/>
      <c r="J19" s="286"/>
      <c r="K19" s="286"/>
      <c r="L19" s="178"/>
      <c r="M19" s="201"/>
    </row>
    <row r="20" spans="1:13" ht="12.75">
      <c r="A20" s="102">
        <v>633</v>
      </c>
      <c r="B20" s="1014" t="s">
        <v>140</v>
      </c>
      <c r="C20" s="103" t="s">
        <v>529</v>
      </c>
      <c r="D20" s="979">
        <v>0</v>
      </c>
      <c r="E20" s="979">
        <v>0</v>
      </c>
      <c r="F20" s="321">
        <v>0</v>
      </c>
      <c r="G20" s="980">
        <v>0</v>
      </c>
      <c r="H20" s="368">
        <v>0</v>
      </c>
      <c r="I20" s="286"/>
      <c r="J20" s="286"/>
      <c r="K20" s="286"/>
      <c r="L20" s="178"/>
      <c r="M20" s="201"/>
    </row>
    <row r="21" spans="1:13" ht="12.75">
      <c r="A21" s="102">
        <v>633</v>
      </c>
      <c r="B21" s="103" t="s">
        <v>140</v>
      </c>
      <c r="C21" s="103" t="s">
        <v>530</v>
      </c>
      <c r="D21" s="979">
        <v>6425.1</v>
      </c>
      <c r="E21" s="979">
        <v>7100</v>
      </c>
      <c r="F21" s="321">
        <v>7500</v>
      </c>
      <c r="G21" s="980">
        <v>8000</v>
      </c>
      <c r="H21" s="368">
        <v>8000</v>
      </c>
      <c r="I21" s="286"/>
      <c r="J21" s="286"/>
      <c r="K21" s="286"/>
      <c r="L21" s="178"/>
      <c r="M21" s="201"/>
    </row>
    <row r="22" spans="1:15" ht="12.75">
      <c r="A22" s="964">
        <v>633</v>
      </c>
      <c r="B22" s="1015" t="s">
        <v>140</v>
      </c>
      <c r="C22" s="1015" t="s">
        <v>531</v>
      </c>
      <c r="D22" s="975">
        <v>178.9</v>
      </c>
      <c r="E22" s="975">
        <v>0</v>
      </c>
      <c r="F22" s="976">
        <v>0</v>
      </c>
      <c r="G22" s="977">
        <v>0</v>
      </c>
      <c r="H22" s="978">
        <v>0</v>
      </c>
      <c r="I22" s="286"/>
      <c r="J22" s="971"/>
      <c r="K22" s="286"/>
      <c r="L22" s="947"/>
      <c r="M22" s="201"/>
      <c r="O22" s="1016"/>
    </row>
    <row r="23" spans="1:14" ht="12.75">
      <c r="A23" s="102">
        <v>633</v>
      </c>
      <c r="B23" s="103" t="s">
        <v>532</v>
      </c>
      <c r="C23" s="103" t="s">
        <v>533</v>
      </c>
      <c r="D23" s="979">
        <v>2300</v>
      </c>
      <c r="E23" s="979">
        <v>3250</v>
      </c>
      <c r="F23" s="321">
        <v>2800</v>
      </c>
      <c r="G23" s="980">
        <v>2000</v>
      </c>
      <c r="H23" s="368">
        <v>2000</v>
      </c>
      <c r="I23" s="286"/>
      <c r="J23" s="286"/>
      <c r="K23" s="286"/>
      <c r="L23" s="178"/>
      <c r="M23" s="201"/>
      <c r="N23" s="1017"/>
    </row>
    <row r="24" spans="1:13" ht="12.75">
      <c r="A24" s="102">
        <v>633</v>
      </c>
      <c r="B24" s="103" t="s">
        <v>534</v>
      </c>
      <c r="C24" s="103" t="s">
        <v>535</v>
      </c>
      <c r="D24" s="979">
        <v>0</v>
      </c>
      <c r="E24" s="979">
        <v>0</v>
      </c>
      <c r="F24" s="321">
        <v>0</v>
      </c>
      <c r="G24" s="980">
        <v>0</v>
      </c>
      <c r="H24" s="368">
        <v>0</v>
      </c>
      <c r="I24" s="286"/>
      <c r="J24" s="286"/>
      <c r="K24" s="286"/>
      <c r="L24" s="178"/>
      <c r="M24" s="201"/>
    </row>
    <row r="25" spans="1:13" ht="12.75">
      <c r="A25" s="102">
        <v>633</v>
      </c>
      <c r="B25" s="103" t="s">
        <v>536</v>
      </c>
      <c r="C25" s="103" t="s">
        <v>537</v>
      </c>
      <c r="D25" s="979">
        <v>100</v>
      </c>
      <c r="E25" s="979">
        <v>100</v>
      </c>
      <c r="F25" s="321">
        <v>100</v>
      </c>
      <c r="G25" s="980">
        <v>300</v>
      </c>
      <c r="H25" s="368">
        <v>300</v>
      </c>
      <c r="I25" s="286"/>
      <c r="J25" s="286"/>
      <c r="K25" s="286"/>
      <c r="L25" s="178"/>
      <c r="M25" s="201"/>
    </row>
    <row r="26" spans="1:13" ht="12.75">
      <c r="A26" s="102">
        <v>633</v>
      </c>
      <c r="B26" s="103" t="s">
        <v>114</v>
      </c>
      <c r="C26" s="103" t="s">
        <v>538</v>
      </c>
      <c r="D26" s="979">
        <v>1500</v>
      </c>
      <c r="E26" s="979">
        <v>300</v>
      </c>
      <c r="F26" s="321">
        <v>500</v>
      </c>
      <c r="G26" s="980">
        <v>500</v>
      </c>
      <c r="H26" s="368">
        <v>500</v>
      </c>
      <c r="I26" s="286"/>
      <c r="J26" s="286"/>
      <c r="K26" s="286"/>
      <c r="L26" s="178"/>
      <c r="M26" s="201"/>
    </row>
    <row r="27" spans="1:13" ht="12.75">
      <c r="A27" s="165">
        <v>633</v>
      </c>
      <c r="B27" s="228" t="s">
        <v>539</v>
      </c>
      <c r="C27" s="228" t="s">
        <v>540</v>
      </c>
      <c r="D27" s="979">
        <v>896</v>
      </c>
      <c r="E27" s="979">
        <v>1200</v>
      </c>
      <c r="F27" s="321">
        <v>1000</v>
      </c>
      <c r="G27" s="980">
        <v>1000</v>
      </c>
      <c r="H27" s="368">
        <v>1000</v>
      </c>
      <c r="I27" s="286"/>
      <c r="J27" s="286"/>
      <c r="K27" s="286"/>
      <c r="L27" s="178"/>
      <c r="M27" s="201"/>
    </row>
    <row r="28" spans="1:13" s="1016" customFormat="1" ht="12.75">
      <c r="A28" s="964">
        <v>633</v>
      </c>
      <c r="B28" s="1015" t="s">
        <v>539</v>
      </c>
      <c r="C28" s="1015" t="s">
        <v>541</v>
      </c>
      <c r="D28" s="975">
        <v>0</v>
      </c>
      <c r="E28" s="975">
        <v>0</v>
      </c>
      <c r="F28" s="976">
        <v>0</v>
      </c>
      <c r="G28" s="977">
        <v>0</v>
      </c>
      <c r="H28" s="978">
        <v>0</v>
      </c>
      <c r="I28" s="971"/>
      <c r="J28" s="971"/>
      <c r="K28" s="971"/>
      <c r="L28" s="1018"/>
      <c r="M28" s="1019"/>
    </row>
    <row r="29" spans="1:13" s="51" customFormat="1" ht="12.75">
      <c r="A29" s="1004">
        <v>634</v>
      </c>
      <c r="B29" s="1005"/>
      <c r="C29" s="1005" t="s">
        <v>542</v>
      </c>
      <c r="D29" s="1020">
        <f>SUM(D30,D32,D33,D34,D35,D31)</f>
        <v>6983</v>
      </c>
      <c r="E29" s="1020">
        <f>SUM(E30,E32,E33,E34,E35,E31)</f>
        <v>9643</v>
      </c>
      <c r="F29" s="1021">
        <f>SUM(F30,F32,F33,F34,F35,F31)</f>
        <v>7500</v>
      </c>
      <c r="G29" s="1022">
        <f>SUM(G30,G32,G33,G34,G35,G31)</f>
        <v>7500</v>
      </c>
      <c r="H29" s="1023">
        <f>SUM(H30,H32,H33,H34,H35,H31)</f>
        <v>7500</v>
      </c>
      <c r="I29" s="1024"/>
      <c r="J29" s="1024"/>
      <c r="K29" s="1024"/>
      <c r="L29" s="1025"/>
      <c r="M29" s="1025"/>
    </row>
    <row r="30" spans="1:13" ht="12.75">
      <c r="A30" s="1026">
        <v>634</v>
      </c>
      <c r="B30" s="1027" t="s">
        <v>104</v>
      </c>
      <c r="C30" s="1027" t="s">
        <v>543</v>
      </c>
      <c r="D30" s="979">
        <v>4470</v>
      </c>
      <c r="E30" s="979">
        <v>4500</v>
      </c>
      <c r="F30" s="321">
        <v>4500</v>
      </c>
      <c r="G30" s="980">
        <v>4500</v>
      </c>
      <c r="H30" s="368">
        <v>4500</v>
      </c>
      <c r="I30" s="286"/>
      <c r="J30" s="286"/>
      <c r="K30" s="286"/>
      <c r="L30" s="178"/>
      <c r="M30" s="201"/>
    </row>
    <row r="31" spans="1:13" s="1016" customFormat="1" ht="12.75">
      <c r="A31" s="1028">
        <v>634</v>
      </c>
      <c r="B31" s="1029" t="s">
        <v>104</v>
      </c>
      <c r="C31" s="1029" t="s">
        <v>544</v>
      </c>
      <c r="D31" s="975">
        <v>43</v>
      </c>
      <c r="E31" s="975">
        <v>0</v>
      </c>
      <c r="F31" s="976">
        <v>0</v>
      </c>
      <c r="G31" s="977">
        <v>0</v>
      </c>
      <c r="H31" s="978">
        <v>0</v>
      </c>
      <c r="I31" s="971"/>
      <c r="J31" s="971"/>
      <c r="K31" s="971"/>
      <c r="L31" s="1018"/>
      <c r="M31" s="1019"/>
    </row>
    <row r="32" spans="1:13" ht="12.75">
      <c r="A32" s="102">
        <v>634</v>
      </c>
      <c r="B32" s="103" t="s">
        <v>107</v>
      </c>
      <c r="C32" s="103" t="s">
        <v>545</v>
      </c>
      <c r="D32" s="979">
        <v>1500</v>
      </c>
      <c r="E32" s="979">
        <v>3000</v>
      </c>
      <c r="F32" s="321">
        <v>1500</v>
      </c>
      <c r="G32" s="980">
        <v>1500</v>
      </c>
      <c r="H32" s="368">
        <v>1500</v>
      </c>
      <c r="I32" s="286"/>
      <c r="J32" s="286"/>
      <c r="K32" s="286"/>
      <c r="L32" s="178"/>
      <c r="M32" s="201"/>
    </row>
    <row r="33" spans="1:13" ht="12.75">
      <c r="A33" s="102">
        <v>634</v>
      </c>
      <c r="B33" s="103" t="s">
        <v>102</v>
      </c>
      <c r="C33" s="103" t="s">
        <v>546</v>
      </c>
      <c r="D33" s="979">
        <v>300</v>
      </c>
      <c r="E33" s="979">
        <v>303</v>
      </c>
      <c r="F33" s="321">
        <v>300</v>
      </c>
      <c r="G33" s="980">
        <v>300</v>
      </c>
      <c r="H33" s="368">
        <v>300</v>
      </c>
      <c r="I33" s="286"/>
      <c r="J33" s="286"/>
      <c r="K33" s="286"/>
      <c r="L33" s="178"/>
      <c r="M33" s="201"/>
    </row>
    <row r="34" spans="1:13" ht="12.75">
      <c r="A34" s="102">
        <v>634</v>
      </c>
      <c r="B34" s="103" t="s">
        <v>123</v>
      </c>
      <c r="C34" s="103" t="s">
        <v>547</v>
      </c>
      <c r="D34" s="979">
        <v>500</v>
      </c>
      <c r="E34" s="979">
        <v>1640</v>
      </c>
      <c r="F34" s="321">
        <v>1000</v>
      </c>
      <c r="G34" s="980">
        <v>1000</v>
      </c>
      <c r="H34" s="368">
        <v>1000</v>
      </c>
      <c r="I34" s="286"/>
      <c r="J34" s="286"/>
      <c r="K34" s="286"/>
      <c r="L34" s="178"/>
      <c r="M34" s="201"/>
    </row>
    <row r="35" spans="1:13" ht="12.75">
      <c r="A35" s="165">
        <v>634</v>
      </c>
      <c r="B35" s="228" t="s">
        <v>135</v>
      </c>
      <c r="C35" s="228" t="s">
        <v>548</v>
      </c>
      <c r="D35" s="979">
        <v>170</v>
      </c>
      <c r="E35" s="979">
        <v>200</v>
      </c>
      <c r="F35" s="321">
        <v>200</v>
      </c>
      <c r="G35" s="980">
        <v>200</v>
      </c>
      <c r="H35" s="368">
        <v>200</v>
      </c>
      <c r="I35" s="286"/>
      <c r="J35" s="286"/>
      <c r="K35" s="286"/>
      <c r="L35" s="178"/>
      <c r="M35" s="201"/>
    </row>
    <row r="36" spans="1:13" s="51" customFormat="1" ht="12.75">
      <c r="A36" s="1030">
        <v>635</v>
      </c>
      <c r="B36" s="1031"/>
      <c r="C36" s="1031" t="s">
        <v>549</v>
      </c>
      <c r="D36" s="1020">
        <f>SUM(D37,D38,D39)</f>
        <v>1637</v>
      </c>
      <c r="E36" s="1020">
        <f>SUM(E37,E38,E39)</f>
        <v>3450</v>
      </c>
      <c r="F36" s="1021">
        <f>SUM(F37,F38,F39)</f>
        <v>2200</v>
      </c>
      <c r="G36" s="1022">
        <f>SUM(G37,G38,G39)</f>
        <v>1800</v>
      </c>
      <c r="H36" s="1023">
        <f>SUM(H37,H38,H39)</f>
        <v>1800</v>
      </c>
      <c r="I36" s="1024"/>
      <c r="J36" s="1024"/>
      <c r="K36" s="1024"/>
      <c r="L36" s="1025"/>
      <c r="M36" s="1025"/>
    </row>
    <row r="37" spans="1:13" ht="12.75">
      <c r="A37" s="1026">
        <v>635</v>
      </c>
      <c r="B37" s="1027" t="s">
        <v>107</v>
      </c>
      <c r="C37" s="1027" t="s">
        <v>550</v>
      </c>
      <c r="D37" s="979">
        <v>100</v>
      </c>
      <c r="E37" s="979">
        <v>150</v>
      </c>
      <c r="F37" s="321">
        <v>200</v>
      </c>
      <c r="G37" s="980">
        <v>200</v>
      </c>
      <c r="H37" s="368">
        <v>200</v>
      </c>
      <c r="I37" s="286"/>
      <c r="J37" s="286"/>
      <c r="K37" s="286"/>
      <c r="L37" s="178"/>
      <c r="M37" s="201"/>
    </row>
    <row r="38" spans="1:13" ht="12.75">
      <c r="A38" s="102">
        <v>635</v>
      </c>
      <c r="B38" s="103" t="s">
        <v>123</v>
      </c>
      <c r="C38" s="103" t="s">
        <v>551</v>
      </c>
      <c r="D38" s="979">
        <v>550</v>
      </c>
      <c r="E38" s="979">
        <v>2500</v>
      </c>
      <c r="F38" s="321">
        <v>1000</v>
      </c>
      <c r="G38" s="980">
        <v>800</v>
      </c>
      <c r="H38" s="368">
        <v>800</v>
      </c>
      <c r="I38" s="286"/>
      <c r="J38" s="286"/>
      <c r="K38" s="286"/>
      <c r="L38" s="178"/>
      <c r="M38" s="201"/>
    </row>
    <row r="39" spans="1:13" ht="12.75">
      <c r="A39" s="165">
        <v>635</v>
      </c>
      <c r="B39" s="228" t="s">
        <v>140</v>
      </c>
      <c r="C39" s="228" t="s">
        <v>552</v>
      </c>
      <c r="D39" s="979">
        <v>987</v>
      </c>
      <c r="E39" s="979">
        <v>800</v>
      </c>
      <c r="F39" s="321">
        <v>1000</v>
      </c>
      <c r="G39" s="980">
        <v>800</v>
      </c>
      <c r="H39" s="368">
        <v>800</v>
      </c>
      <c r="I39" s="286"/>
      <c r="J39" s="286"/>
      <c r="K39" s="286"/>
      <c r="L39" s="178"/>
      <c r="M39" s="201"/>
    </row>
    <row r="40" spans="1:13" s="51" customFormat="1" ht="12.75">
      <c r="A40" s="1030">
        <v>636</v>
      </c>
      <c r="B40" s="1031"/>
      <c r="C40" s="1031" t="s">
        <v>553</v>
      </c>
      <c r="D40" s="1020">
        <f>SUM(D41,D42,D43)</f>
        <v>1200</v>
      </c>
      <c r="E40" s="1020">
        <f>SUM(E41,E42,E43)</f>
        <v>1006</v>
      </c>
      <c r="F40" s="1021">
        <f>SUM(F41,F42,F43)</f>
        <v>900</v>
      </c>
      <c r="G40" s="1022">
        <f>SUM(G41,G42,G43)</f>
        <v>900</v>
      </c>
      <c r="H40" s="1023">
        <f>SUM(H41,H42,H43)</f>
        <v>900</v>
      </c>
      <c r="I40" s="1024"/>
      <c r="J40" s="1024"/>
      <c r="K40" s="1024"/>
      <c r="L40" s="1025"/>
      <c r="M40" s="1025"/>
    </row>
    <row r="41" spans="1:13" ht="12.75">
      <c r="A41" s="1026">
        <v>636</v>
      </c>
      <c r="B41" s="1027" t="s">
        <v>104</v>
      </c>
      <c r="C41" s="1027" t="s">
        <v>552</v>
      </c>
      <c r="D41" s="979">
        <v>1200</v>
      </c>
      <c r="E41" s="979">
        <v>1006</v>
      </c>
      <c r="F41" s="321">
        <v>600</v>
      </c>
      <c r="G41" s="980">
        <v>600</v>
      </c>
      <c r="H41" s="368">
        <v>600</v>
      </c>
      <c r="I41" s="286"/>
      <c r="J41" s="286"/>
      <c r="K41" s="286"/>
      <c r="L41" s="178"/>
      <c r="M41" s="201"/>
    </row>
    <row r="42" spans="1:13" ht="12.75">
      <c r="A42" s="1032">
        <v>636</v>
      </c>
      <c r="B42" s="143" t="s">
        <v>107</v>
      </c>
      <c r="C42" s="143" t="s">
        <v>551</v>
      </c>
      <c r="D42" s="979">
        <v>0</v>
      </c>
      <c r="E42" s="979">
        <v>0</v>
      </c>
      <c r="F42" s="321">
        <v>300</v>
      </c>
      <c r="G42" s="980">
        <v>300</v>
      </c>
      <c r="H42" s="368">
        <v>300</v>
      </c>
      <c r="I42" s="286"/>
      <c r="J42" s="286"/>
      <c r="K42" s="286"/>
      <c r="L42" s="178"/>
      <c r="M42" s="201"/>
    </row>
    <row r="43" spans="1:13" ht="12.75">
      <c r="A43" s="102">
        <v>636</v>
      </c>
      <c r="B43" s="103" t="s">
        <v>123</v>
      </c>
      <c r="C43" s="103" t="s">
        <v>554</v>
      </c>
      <c r="D43" s="979">
        <v>0</v>
      </c>
      <c r="E43" s="979">
        <v>0</v>
      </c>
      <c r="F43" s="321">
        <v>0</v>
      </c>
      <c r="G43" s="980">
        <v>0</v>
      </c>
      <c r="H43" s="368">
        <v>0</v>
      </c>
      <c r="I43" s="286"/>
      <c r="J43" s="286"/>
      <c r="K43" s="286"/>
      <c r="L43" s="178"/>
      <c r="M43" s="201"/>
    </row>
    <row r="44" spans="1:13" ht="12.75" hidden="1">
      <c r="A44" s="1032"/>
      <c r="B44" s="143"/>
      <c r="C44" s="143"/>
      <c r="D44" s="979"/>
      <c r="E44" s="979"/>
      <c r="F44" s="321"/>
      <c r="G44" s="980"/>
      <c r="H44" s="368"/>
      <c r="I44" s="286"/>
      <c r="J44" s="178"/>
      <c r="K44" s="286"/>
      <c r="L44" s="178"/>
      <c r="M44" s="178"/>
    </row>
    <row r="45" spans="1:13" ht="12.75" hidden="1">
      <c r="A45" s="1032"/>
      <c r="B45" s="143"/>
      <c r="C45" s="143"/>
      <c r="D45" s="979"/>
      <c r="E45" s="979"/>
      <c r="F45" s="321"/>
      <c r="G45" s="980"/>
      <c r="H45" s="368"/>
      <c r="I45" s="286"/>
      <c r="J45" s="178"/>
      <c r="K45" s="286"/>
      <c r="L45" s="178"/>
      <c r="M45" s="178"/>
    </row>
    <row r="46" spans="1:11" ht="12.75" hidden="1">
      <c r="A46" s="1032"/>
      <c r="B46" s="143"/>
      <c r="C46" s="143"/>
      <c r="D46" s="1033"/>
      <c r="E46" s="1033"/>
      <c r="F46" s="1034"/>
      <c r="G46" s="1035"/>
      <c r="H46" s="1036"/>
      <c r="I46" s="52"/>
      <c r="K46" s="52"/>
    </row>
    <row r="47" spans="1:11" ht="12.75" hidden="1">
      <c r="A47" s="1032"/>
      <c r="B47" s="143"/>
      <c r="C47" s="143"/>
      <c r="D47" s="1033"/>
      <c r="E47" s="1033"/>
      <c r="F47" s="1034"/>
      <c r="G47" s="1035"/>
      <c r="H47" s="1036"/>
      <c r="I47" s="52"/>
      <c r="K47" s="52"/>
    </row>
    <row r="48" spans="1:13" s="51" customFormat="1" ht="12.75">
      <c r="A48" s="1030">
        <v>637</v>
      </c>
      <c r="B48" s="1031"/>
      <c r="C48" s="1031" t="s">
        <v>555</v>
      </c>
      <c r="D48" s="1020">
        <f>D49+D50+D51+D52+D56+D57+D58+D59+D60+D61+D62+D63+D64</f>
        <v>38986.299999999996</v>
      </c>
      <c r="E48" s="1020">
        <f>E49+E50+E51+E52+E56+E57+E58+E59+E60+E61+E62+E63+E64</f>
        <v>30880</v>
      </c>
      <c r="F48" s="1021">
        <f>F49+F50+F51+F52+F56+F57+F58+F59+F60+F61+F62+F63+F64</f>
        <v>31650</v>
      </c>
      <c r="G48" s="1022">
        <f>G49+G50+G51+G52+G56+G57+G58+G59+G60+G61+G62+G63+G64</f>
        <v>31850</v>
      </c>
      <c r="H48" s="1023">
        <f>H49+H50+H51+H52+H56+H57+H58+H59+H60+H61+H62+H63+H64</f>
        <v>31850</v>
      </c>
      <c r="I48" s="1024"/>
      <c r="J48" s="1024"/>
      <c r="K48" s="1024"/>
      <c r="L48" s="1025"/>
      <c r="M48" s="1025"/>
    </row>
    <row r="49" spans="1:13" ht="12.75">
      <c r="A49" s="1026">
        <v>637</v>
      </c>
      <c r="B49" s="1027" t="s">
        <v>104</v>
      </c>
      <c r="C49" s="1027" t="s">
        <v>556</v>
      </c>
      <c r="D49" s="979">
        <v>50</v>
      </c>
      <c r="E49" s="979">
        <v>50</v>
      </c>
      <c r="F49" s="321">
        <v>50</v>
      </c>
      <c r="G49" s="980">
        <v>50</v>
      </c>
      <c r="H49" s="368">
        <v>50</v>
      </c>
      <c r="I49" s="286"/>
      <c r="J49" s="286"/>
      <c r="K49" s="286"/>
      <c r="L49" s="178"/>
      <c r="M49" s="178"/>
    </row>
    <row r="50" spans="1:13" ht="12.75">
      <c r="A50" s="102">
        <v>637</v>
      </c>
      <c r="B50" s="103" t="s">
        <v>557</v>
      </c>
      <c r="C50" s="103" t="s">
        <v>558</v>
      </c>
      <c r="D50" s="979">
        <v>500</v>
      </c>
      <c r="E50" s="979">
        <v>300</v>
      </c>
      <c r="F50" s="321">
        <v>500</v>
      </c>
      <c r="G50" s="980">
        <v>500</v>
      </c>
      <c r="H50" s="368">
        <v>500</v>
      </c>
      <c r="I50" s="286"/>
      <c r="J50" s="286"/>
      <c r="K50" s="286"/>
      <c r="L50" s="178"/>
      <c r="M50" s="178"/>
    </row>
    <row r="51" spans="1:13" ht="12.75">
      <c r="A51" s="102">
        <v>637</v>
      </c>
      <c r="B51" s="103" t="s">
        <v>102</v>
      </c>
      <c r="C51" s="103" t="s">
        <v>559</v>
      </c>
      <c r="D51" s="979">
        <v>550</v>
      </c>
      <c r="E51" s="979">
        <v>500</v>
      </c>
      <c r="F51" s="321">
        <v>550</v>
      </c>
      <c r="G51" s="980">
        <v>550</v>
      </c>
      <c r="H51" s="368">
        <v>550</v>
      </c>
      <c r="I51" s="286"/>
      <c r="J51" s="286"/>
      <c r="K51" s="286"/>
      <c r="L51" s="178"/>
      <c r="M51" s="178"/>
    </row>
    <row r="52" spans="1:13" ht="12.75">
      <c r="A52" s="102">
        <v>637</v>
      </c>
      <c r="B52" s="103" t="s">
        <v>123</v>
      </c>
      <c r="C52" s="103" t="s">
        <v>560</v>
      </c>
      <c r="D52" s="979">
        <v>10000</v>
      </c>
      <c r="E52" s="979">
        <v>10000</v>
      </c>
      <c r="F52" s="321">
        <v>10000</v>
      </c>
      <c r="G52" s="980">
        <v>10000</v>
      </c>
      <c r="H52" s="368">
        <v>10000</v>
      </c>
      <c r="I52" s="286"/>
      <c r="J52" s="286"/>
      <c r="K52" s="286"/>
      <c r="L52" s="178"/>
      <c r="M52" s="178"/>
    </row>
    <row r="53" spans="1:13" ht="12.75">
      <c r="A53" s="102">
        <v>637</v>
      </c>
      <c r="B53" s="103" t="s">
        <v>123</v>
      </c>
      <c r="C53" s="103" t="s">
        <v>561</v>
      </c>
      <c r="D53" s="979">
        <v>0</v>
      </c>
      <c r="E53" s="979">
        <v>0</v>
      </c>
      <c r="F53" s="321">
        <v>0</v>
      </c>
      <c r="G53" s="980">
        <v>0</v>
      </c>
      <c r="H53" s="368">
        <v>0</v>
      </c>
      <c r="I53" s="286"/>
      <c r="J53" s="119"/>
      <c r="K53" s="286"/>
      <c r="L53" s="1037"/>
      <c r="M53" s="178"/>
    </row>
    <row r="54" spans="1:13" ht="12.75">
      <c r="A54" s="102">
        <v>637</v>
      </c>
      <c r="B54" s="103" t="s">
        <v>135</v>
      </c>
      <c r="C54" s="103" t="s">
        <v>562</v>
      </c>
      <c r="D54" s="979">
        <v>0</v>
      </c>
      <c r="E54" s="979">
        <v>0</v>
      </c>
      <c r="F54" s="321">
        <v>0</v>
      </c>
      <c r="G54" s="980">
        <v>0</v>
      </c>
      <c r="H54" s="368">
        <v>0</v>
      </c>
      <c r="I54" s="286"/>
      <c r="J54" s="286"/>
      <c r="K54" s="286"/>
      <c r="L54" s="178"/>
      <c r="M54" s="178"/>
    </row>
    <row r="55" spans="1:13" ht="12.75">
      <c r="A55" s="102">
        <v>637</v>
      </c>
      <c r="B55" s="103" t="s">
        <v>536</v>
      </c>
      <c r="C55" s="103" t="s">
        <v>563</v>
      </c>
      <c r="D55" s="979">
        <v>0</v>
      </c>
      <c r="E55" s="979">
        <v>0</v>
      </c>
      <c r="F55" s="321">
        <v>0</v>
      </c>
      <c r="G55" s="980">
        <v>0</v>
      </c>
      <c r="H55" s="368">
        <v>0</v>
      </c>
      <c r="I55" s="286"/>
      <c r="J55" s="286"/>
      <c r="K55" s="286"/>
      <c r="L55" s="178"/>
      <c r="M55" s="178"/>
    </row>
    <row r="56" spans="1:13" ht="12.75">
      <c r="A56" s="102">
        <v>637</v>
      </c>
      <c r="B56" s="103" t="s">
        <v>113</v>
      </c>
      <c r="C56" s="103" t="s">
        <v>564</v>
      </c>
      <c r="D56" s="979">
        <v>4000</v>
      </c>
      <c r="E56" s="979">
        <v>2000</v>
      </c>
      <c r="F56" s="321">
        <v>2000</v>
      </c>
      <c r="G56" s="980">
        <v>2000</v>
      </c>
      <c r="H56" s="368">
        <v>2000</v>
      </c>
      <c r="I56" s="286"/>
      <c r="J56" s="286"/>
      <c r="K56" s="286"/>
      <c r="L56" s="178"/>
      <c r="M56" s="178"/>
    </row>
    <row r="57" spans="1:13" ht="12.75">
      <c r="A57" s="1026">
        <v>637</v>
      </c>
      <c r="B57" s="1027" t="s">
        <v>117</v>
      </c>
      <c r="C57" s="1027" t="s">
        <v>565</v>
      </c>
      <c r="D57" s="979">
        <v>15450</v>
      </c>
      <c r="E57" s="979">
        <v>16000</v>
      </c>
      <c r="F57" s="321">
        <v>16000</v>
      </c>
      <c r="G57" s="980">
        <v>16000</v>
      </c>
      <c r="H57" s="368">
        <v>16000</v>
      </c>
      <c r="I57" s="238"/>
      <c r="K57" s="201"/>
      <c r="L57" s="178"/>
      <c r="M57" s="178"/>
    </row>
    <row r="58" spans="1:13" s="1016" customFormat="1" ht="12.75">
      <c r="A58" s="964">
        <v>637</v>
      </c>
      <c r="B58" s="1015" t="s">
        <v>117</v>
      </c>
      <c r="C58" s="1015" t="s">
        <v>566</v>
      </c>
      <c r="D58" s="1038">
        <v>457.6</v>
      </c>
      <c r="E58" s="1038">
        <v>0</v>
      </c>
      <c r="F58" s="976">
        <v>0</v>
      </c>
      <c r="G58" s="1039">
        <v>0</v>
      </c>
      <c r="H58" s="1040">
        <v>0</v>
      </c>
      <c r="I58" s="1041"/>
      <c r="J58" s="1003"/>
      <c r="K58" s="1019"/>
      <c r="L58" s="1018"/>
      <c r="M58" s="1018"/>
    </row>
    <row r="59" spans="1:13" ht="12.75">
      <c r="A59" s="102">
        <v>637</v>
      </c>
      <c r="B59" s="103" t="s">
        <v>567</v>
      </c>
      <c r="C59" s="103" t="s">
        <v>568</v>
      </c>
      <c r="D59" s="979">
        <v>1250</v>
      </c>
      <c r="E59" s="979">
        <v>1280</v>
      </c>
      <c r="F59" s="321">
        <v>1500</v>
      </c>
      <c r="G59" s="980">
        <v>1500</v>
      </c>
      <c r="H59" s="368">
        <v>1500</v>
      </c>
      <c r="I59" s="238"/>
      <c r="K59" s="201"/>
      <c r="L59" s="178"/>
      <c r="M59" s="178"/>
    </row>
    <row r="60" spans="1:13" ht="12.75">
      <c r="A60" s="102">
        <v>637</v>
      </c>
      <c r="B60" s="103" t="s">
        <v>539</v>
      </c>
      <c r="C60" s="103" t="s">
        <v>569</v>
      </c>
      <c r="D60" s="979">
        <v>1000</v>
      </c>
      <c r="E60" s="979">
        <v>500</v>
      </c>
      <c r="F60" s="321">
        <v>800</v>
      </c>
      <c r="G60" s="980">
        <v>1000</v>
      </c>
      <c r="H60" s="368">
        <v>1000</v>
      </c>
      <c r="I60" s="1042"/>
      <c r="K60" s="201"/>
      <c r="L60" s="178"/>
      <c r="M60" s="178"/>
    </row>
    <row r="61" spans="1:13" ht="12.75">
      <c r="A61" s="102">
        <v>637</v>
      </c>
      <c r="B61" s="103" t="s">
        <v>570</v>
      </c>
      <c r="C61" s="103" t="s">
        <v>571</v>
      </c>
      <c r="D61" s="979">
        <v>3689.39</v>
      </c>
      <c r="E61" s="979">
        <v>0</v>
      </c>
      <c r="F61" s="321">
        <v>0</v>
      </c>
      <c r="G61" s="980">
        <v>0</v>
      </c>
      <c r="H61" s="368">
        <v>0</v>
      </c>
      <c r="I61" s="1042"/>
      <c r="K61" s="201"/>
      <c r="L61" s="178"/>
      <c r="M61" s="178"/>
    </row>
    <row r="62" spans="1:13" ht="12.75">
      <c r="A62" s="102">
        <v>637</v>
      </c>
      <c r="B62" s="103" t="s">
        <v>572</v>
      </c>
      <c r="C62" s="103" t="s">
        <v>573</v>
      </c>
      <c r="D62" s="979">
        <v>250</v>
      </c>
      <c r="E62" s="979">
        <v>250</v>
      </c>
      <c r="F62" s="321">
        <v>250</v>
      </c>
      <c r="G62" s="980">
        <v>250</v>
      </c>
      <c r="H62" s="368">
        <v>250</v>
      </c>
      <c r="I62" s="238"/>
      <c r="K62" s="178"/>
      <c r="L62" s="178"/>
      <c r="M62" s="178"/>
    </row>
    <row r="63" spans="1:256" ht="12.75" hidden="1">
      <c r="A63" s="1043"/>
      <c r="B63" s="412"/>
      <c r="C63" s="412"/>
      <c r="D63" s="412"/>
      <c r="E63" s="711"/>
      <c r="F63" s="1044"/>
      <c r="G63" s="1045"/>
      <c r="H63" s="87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3" s="1016" customFormat="1" ht="12.75">
      <c r="A64" s="1046">
        <v>637</v>
      </c>
      <c r="B64" s="1047" t="s">
        <v>574</v>
      </c>
      <c r="C64" s="1047" t="s">
        <v>575</v>
      </c>
      <c r="D64" s="975">
        <v>1789.31</v>
      </c>
      <c r="E64" s="975">
        <v>0</v>
      </c>
      <c r="F64" s="976">
        <v>0</v>
      </c>
      <c r="G64" s="977">
        <v>0</v>
      </c>
      <c r="H64" s="978">
        <v>0</v>
      </c>
      <c r="I64" s="1041"/>
      <c r="J64" s="1003"/>
      <c r="K64" s="1018"/>
      <c r="L64" s="947"/>
      <c r="M64" s="1018"/>
    </row>
    <row r="65" spans="1:13" s="1049" customFormat="1" ht="12.75">
      <c r="A65" s="1048">
        <v>640</v>
      </c>
      <c r="B65" s="1031"/>
      <c r="C65" s="1031" t="s">
        <v>576</v>
      </c>
      <c r="D65" s="1006">
        <f>D66+D67+D68+D69</f>
        <v>16620</v>
      </c>
      <c r="E65" s="1006">
        <f>E66+E67+E68+E69</f>
        <v>14250</v>
      </c>
      <c r="F65" s="1007">
        <f>F66+F67+F68+F69</f>
        <v>10000</v>
      </c>
      <c r="G65" s="1008">
        <f>G66+G67+G68+G69</f>
        <v>2000</v>
      </c>
      <c r="H65" s="1009">
        <f>H66+H67+H68+H69</f>
        <v>2000</v>
      </c>
      <c r="I65" s="1011"/>
      <c r="J65" s="1011"/>
      <c r="K65" s="1011"/>
      <c r="L65" s="1011"/>
      <c r="M65" s="1011"/>
    </row>
    <row r="66" spans="1:13" s="51" customFormat="1" ht="12.75">
      <c r="A66" s="1050">
        <v>642</v>
      </c>
      <c r="B66" s="1013" t="s">
        <v>107</v>
      </c>
      <c r="C66" s="1013" t="s">
        <v>577</v>
      </c>
      <c r="D66" s="979">
        <v>0</v>
      </c>
      <c r="E66" s="979">
        <v>2000</v>
      </c>
      <c r="F66" s="321">
        <v>1000</v>
      </c>
      <c r="G66" s="980">
        <v>1000</v>
      </c>
      <c r="H66" s="368">
        <v>1000</v>
      </c>
      <c r="I66" s="1051"/>
      <c r="K66" s="178"/>
      <c r="L66" s="178"/>
      <c r="M66" s="178"/>
    </row>
    <row r="67" spans="1:13" ht="12.75">
      <c r="A67" s="165">
        <v>642</v>
      </c>
      <c r="B67" s="166" t="s">
        <v>140</v>
      </c>
      <c r="C67" s="166" t="s">
        <v>578</v>
      </c>
      <c r="D67" s="979">
        <v>1400</v>
      </c>
      <c r="E67" s="979">
        <v>800</v>
      </c>
      <c r="F67" s="321">
        <v>1000</v>
      </c>
      <c r="G67" s="980">
        <v>1000</v>
      </c>
      <c r="H67" s="368">
        <v>1000</v>
      </c>
      <c r="I67" s="1051"/>
      <c r="K67" s="178"/>
      <c r="L67" s="178"/>
      <c r="M67" s="178"/>
    </row>
    <row r="68" spans="1:13" ht="12.75">
      <c r="A68" s="102">
        <v>651</v>
      </c>
      <c r="B68" s="87" t="s">
        <v>107</v>
      </c>
      <c r="C68" s="87" t="s">
        <v>579</v>
      </c>
      <c r="D68" s="979">
        <v>14500</v>
      </c>
      <c r="E68" s="979">
        <v>11000</v>
      </c>
      <c r="F68" s="321">
        <v>8000</v>
      </c>
      <c r="G68" s="980">
        <v>0</v>
      </c>
      <c r="H68" s="368">
        <v>0</v>
      </c>
      <c r="I68" s="1051"/>
      <c r="K68" s="201"/>
      <c r="L68" s="178"/>
      <c r="M68" s="178"/>
    </row>
    <row r="69" spans="1:13" ht="12.75">
      <c r="A69" s="86">
        <v>653</v>
      </c>
      <c r="B69" s="87" t="s">
        <v>107</v>
      </c>
      <c r="C69" s="87" t="s">
        <v>580</v>
      </c>
      <c r="D69" s="979">
        <v>720</v>
      </c>
      <c r="E69" s="979">
        <v>450</v>
      </c>
      <c r="F69" s="321">
        <v>0</v>
      </c>
      <c r="G69" s="980">
        <v>0</v>
      </c>
      <c r="H69" s="368">
        <v>0</v>
      </c>
      <c r="I69" s="1051"/>
      <c r="K69" s="178"/>
      <c r="L69" s="178"/>
      <c r="M69" s="178"/>
    </row>
    <row r="70" spans="1:13" s="48" customFormat="1" ht="12.75">
      <c r="A70" s="1052" t="s">
        <v>581</v>
      </c>
      <c r="B70" s="1053"/>
      <c r="C70" s="1053"/>
      <c r="D70" s="1054">
        <f>SUM(D71,D72,D73,D74)</f>
        <v>11020</v>
      </c>
      <c r="E70" s="189">
        <f>E71+E72+E73+E74+E75</f>
        <v>14990</v>
      </c>
      <c r="F70" s="190">
        <f>F71+F72+F73+F74+F75</f>
        <v>15000</v>
      </c>
      <c r="G70" s="191">
        <f>G71+G72+G73+G74+G75</f>
        <v>15400</v>
      </c>
      <c r="H70" s="192">
        <f>H71+H72+H73+H74+H75</f>
        <v>15800</v>
      </c>
      <c r="I70" s="957"/>
      <c r="J70" s="1055"/>
      <c r="K70" s="957"/>
      <c r="L70" s="957"/>
      <c r="M70" s="957"/>
    </row>
    <row r="71" spans="1:13" ht="12.75">
      <c r="A71" s="1026">
        <v>610</v>
      </c>
      <c r="B71" s="1027"/>
      <c r="C71" s="1056" t="s">
        <v>519</v>
      </c>
      <c r="D71" s="282">
        <v>5820</v>
      </c>
      <c r="E71" s="123">
        <v>7000</v>
      </c>
      <c r="F71" s="124">
        <v>7200</v>
      </c>
      <c r="G71" s="125">
        <v>7500</v>
      </c>
      <c r="H71" s="126">
        <v>7800</v>
      </c>
      <c r="I71" s="201"/>
      <c r="K71" s="201"/>
      <c r="L71" s="178"/>
      <c r="M71" s="178"/>
    </row>
    <row r="72" spans="1:13" ht="12.75">
      <c r="A72" s="102">
        <v>620</v>
      </c>
      <c r="B72" s="103"/>
      <c r="C72" s="87" t="s">
        <v>227</v>
      </c>
      <c r="D72" s="282">
        <v>2070</v>
      </c>
      <c r="E72" s="123">
        <v>2500</v>
      </c>
      <c r="F72" s="124">
        <v>2500</v>
      </c>
      <c r="G72" s="125">
        <v>2600</v>
      </c>
      <c r="H72" s="126">
        <v>2700</v>
      </c>
      <c r="I72" s="201"/>
      <c r="K72" s="201"/>
      <c r="L72" s="178"/>
      <c r="M72" s="178"/>
    </row>
    <row r="73" spans="1:13" ht="12.75">
      <c r="A73" s="102">
        <v>637</v>
      </c>
      <c r="B73" s="103"/>
      <c r="C73" s="87" t="s">
        <v>241</v>
      </c>
      <c r="D73" s="318">
        <v>130</v>
      </c>
      <c r="E73" s="168">
        <v>550</v>
      </c>
      <c r="F73" s="109">
        <v>300</v>
      </c>
      <c r="G73" s="169">
        <v>300</v>
      </c>
      <c r="H73" s="170">
        <v>300</v>
      </c>
      <c r="I73" s="201"/>
      <c r="K73" s="178"/>
      <c r="L73" s="178"/>
      <c r="M73" s="178"/>
    </row>
    <row r="74" spans="1:13" ht="12.75">
      <c r="A74" s="102">
        <v>637</v>
      </c>
      <c r="B74" s="103" t="s">
        <v>582</v>
      </c>
      <c r="C74" s="103" t="s">
        <v>583</v>
      </c>
      <c r="D74" s="979">
        <v>3000</v>
      </c>
      <c r="E74" s="961">
        <v>3500</v>
      </c>
      <c r="F74" s="321">
        <v>3500</v>
      </c>
      <c r="G74" s="980">
        <v>3500</v>
      </c>
      <c r="H74" s="368">
        <v>3500</v>
      </c>
      <c r="I74" s="201"/>
      <c r="K74" s="178"/>
      <c r="L74" s="178"/>
      <c r="M74" s="178"/>
    </row>
    <row r="75" spans="1:13" ht="12.75">
      <c r="A75" s="131">
        <v>637</v>
      </c>
      <c r="B75" s="132"/>
      <c r="C75" s="195" t="s">
        <v>584</v>
      </c>
      <c r="D75" s="385"/>
      <c r="E75" s="138">
        <v>1440</v>
      </c>
      <c r="F75" s="139">
        <v>1500</v>
      </c>
      <c r="G75" s="140">
        <v>1500</v>
      </c>
      <c r="H75" s="141">
        <v>1500</v>
      </c>
      <c r="I75" s="201"/>
      <c r="K75" s="178"/>
      <c r="L75" s="178"/>
      <c r="M75" s="178"/>
    </row>
    <row r="76" spans="1:9" ht="12.75">
      <c r="A76" s="939" t="s">
        <v>478</v>
      </c>
      <c r="B76" s="940"/>
      <c r="C76" s="941"/>
      <c r="D76" s="382">
        <v>2012</v>
      </c>
      <c r="E76" s="242">
        <v>2013</v>
      </c>
      <c r="F76" s="315">
        <v>2014</v>
      </c>
      <c r="G76" s="942">
        <v>2015</v>
      </c>
      <c r="H76" s="943">
        <v>2015</v>
      </c>
      <c r="I76" s="944"/>
    </row>
    <row r="77" spans="1:14" s="48" customFormat="1" ht="12.75">
      <c r="A77" s="1057" t="s">
        <v>585</v>
      </c>
      <c r="B77" s="1058"/>
      <c r="C77" s="1053"/>
      <c r="D77" s="1059">
        <f>SUM(D78,D80,D82,D83,D86,D87,D88)</f>
        <v>12815</v>
      </c>
      <c r="E77" s="1060">
        <f>E78+E80+E82+E83+E86+E87+E88</f>
        <v>12615</v>
      </c>
      <c r="F77" s="190">
        <f>F78+F80+F82+F83+F86+F87+F88</f>
        <v>12815</v>
      </c>
      <c r="G77" s="191">
        <f>G78+G80+G82+G83+G86+G87+G88</f>
        <v>12815</v>
      </c>
      <c r="H77" s="192">
        <f>H78+H80+H82+H83+H86+H87+H88</f>
        <v>12815</v>
      </c>
      <c r="I77" s="957"/>
      <c r="J77" s="1055"/>
      <c r="K77" s="957"/>
      <c r="L77" s="957"/>
      <c r="M77" s="957"/>
      <c r="N77" s="947"/>
    </row>
    <row r="78" spans="1:13" s="51" customFormat="1" ht="12.75">
      <c r="A78" s="102">
        <v>610</v>
      </c>
      <c r="B78" s="103"/>
      <c r="C78" s="1061" t="s">
        <v>519</v>
      </c>
      <c r="D78" s="333">
        <v>9000</v>
      </c>
      <c r="E78" s="282">
        <v>9000</v>
      </c>
      <c r="F78" s="321">
        <v>9000</v>
      </c>
      <c r="G78" s="351">
        <v>9000</v>
      </c>
      <c r="H78" s="335">
        <v>9000</v>
      </c>
      <c r="I78" s="1042"/>
      <c r="K78" s="201"/>
      <c r="L78" s="178"/>
      <c r="M78" s="178"/>
    </row>
    <row r="79" spans="1:13" ht="12.75">
      <c r="A79" s="964">
        <v>610</v>
      </c>
      <c r="B79" s="1015"/>
      <c r="C79" s="974" t="s">
        <v>586</v>
      </c>
      <c r="D79" s="1062">
        <v>4547.06</v>
      </c>
      <c r="E79" s="1038">
        <v>4680</v>
      </c>
      <c r="F79" s="976">
        <v>4500</v>
      </c>
      <c r="G79" s="1039">
        <v>4500</v>
      </c>
      <c r="H79" s="1040">
        <v>4500</v>
      </c>
      <c r="I79" s="1041"/>
      <c r="K79" s="1019"/>
      <c r="L79" s="947"/>
      <c r="M79" s="1018"/>
    </row>
    <row r="80" spans="1:13" ht="12.75">
      <c r="A80" s="102">
        <v>620</v>
      </c>
      <c r="B80" s="103"/>
      <c r="C80" s="87" t="s">
        <v>227</v>
      </c>
      <c r="D80" s="333">
        <v>3200</v>
      </c>
      <c r="E80" s="282">
        <v>3200</v>
      </c>
      <c r="F80" s="321">
        <v>3200</v>
      </c>
      <c r="G80" s="351">
        <v>3200</v>
      </c>
      <c r="H80" s="335">
        <v>3200</v>
      </c>
      <c r="I80" s="238"/>
      <c r="K80" s="201"/>
      <c r="L80" s="178"/>
      <c r="M80" s="178"/>
    </row>
    <row r="81" spans="1:14" ht="12.75">
      <c r="A81" s="964">
        <v>620</v>
      </c>
      <c r="B81" s="1015"/>
      <c r="C81" s="999" t="s">
        <v>587</v>
      </c>
      <c r="D81" s="1062">
        <v>125.31</v>
      </c>
      <c r="E81" s="1038">
        <v>20</v>
      </c>
      <c r="F81" s="976">
        <v>200</v>
      </c>
      <c r="G81" s="1039">
        <v>130</v>
      </c>
      <c r="H81" s="1040">
        <v>130</v>
      </c>
      <c r="I81" s="1041"/>
      <c r="K81" s="1019"/>
      <c r="L81" s="947"/>
      <c r="M81" s="1018"/>
      <c r="N81" s="1018"/>
    </row>
    <row r="82" spans="1:13" ht="12.75">
      <c r="A82" s="86">
        <v>632</v>
      </c>
      <c r="B82" s="103"/>
      <c r="C82" s="87" t="s">
        <v>231</v>
      </c>
      <c r="D82" s="333">
        <v>15</v>
      </c>
      <c r="E82" s="282">
        <v>15</v>
      </c>
      <c r="F82" s="321">
        <v>15</v>
      </c>
      <c r="G82" s="351">
        <v>15</v>
      </c>
      <c r="H82" s="335">
        <v>15</v>
      </c>
      <c r="I82" s="238"/>
      <c r="K82" s="178"/>
      <c r="L82" s="178"/>
      <c r="M82" s="178"/>
    </row>
    <row r="83" spans="1:13" ht="12.75">
      <c r="A83" s="86">
        <v>633</v>
      </c>
      <c r="B83" s="103"/>
      <c r="C83" s="87" t="s">
        <v>233</v>
      </c>
      <c r="D83" s="333">
        <v>400</v>
      </c>
      <c r="E83" s="282">
        <v>300</v>
      </c>
      <c r="F83" s="321">
        <v>400</v>
      </c>
      <c r="G83" s="351">
        <v>400</v>
      </c>
      <c r="H83" s="335">
        <v>400</v>
      </c>
      <c r="I83" s="238"/>
      <c r="J83" s="178"/>
      <c r="K83" s="178"/>
      <c r="L83" s="178"/>
      <c r="M83" s="178"/>
    </row>
    <row r="84" spans="1:13" ht="12.75">
      <c r="A84" s="86">
        <v>633</v>
      </c>
      <c r="B84" s="103" t="s">
        <v>140</v>
      </c>
      <c r="C84" s="87" t="s">
        <v>398</v>
      </c>
      <c r="D84" s="1063">
        <v>300.42</v>
      </c>
      <c r="E84" s="127">
        <v>200</v>
      </c>
      <c r="F84" s="128">
        <v>300</v>
      </c>
      <c r="G84" s="129">
        <v>300</v>
      </c>
      <c r="H84" s="130">
        <v>300</v>
      </c>
      <c r="I84" s="1051"/>
      <c r="K84" s="178"/>
      <c r="L84" s="178"/>
      <c r="M84" s="178"/>
    </row>
    <row r="85" spans="1:13" ht="12.75">
      <c r="A85" s="998">
        <v>633</v>
      </c>
      <c r="B85" s="1015"/>
      <c r="C85" s="999" t="s">
        <v>588</v>
      </c>
      <c r="D85" s="1062">
        <v>99.58</v>
      </c>
      <c r="E85" s="1038">
        <v>100</v>
      </c>
      <c r="F85" s="976">
        <v>100</v>
      </c>
      <c r="G85" s="1039">
        <v>100</v>
      </c>
      <c r="H85" s="1040">
        <v>100</v>
      </c>
      <c r="I85" s="1064"/>
      <c r="K85" s="178"/>
      <c r="L85" s="947"/>
      <c r="M85" s="178"/>
    </row>
    <row r="86" spans="1:13" ht="12.75">
      <c r="A86" s="86">
        <v>635</v>
      </c>
      <c r="B86" s="103"/>
      <c r="C86" s="87" t="s">
        <v>335</v>
      </c>
      <c r="D86" s="333">
        <v>0</v>
      </c>
      <c r="E86" s="282">
        <v>0</v>
      </c>
      <c r="F86" s="321">
        <v>0</v>
      </c>
      <c r="G86" s="351">
        <v>0</v>
      </c>
      <c r="H86" s="335">
        <v>0</v>
      </c>
      <c r="I86" s="238"/>
      <c r="K86" s="178"/>
      <c r="L86" s="178"/>
      <c r="M86" s="178"/>
    </row>
    <row r="87" spans="1:13" ht="12.75">
      <c r="A87" s="225">
        <v>637</v>
      </c>
      <c r="B87" s="228"/>
      <c r="C87" s="166" t="s">
        <v>241</v>
      </c>
      <c r="D87" s="333">
        <v>200</v>
      </c>
      <c r="E87" s="282">
        <v>100</v>
      </c>
      <c r="F87" s="321">
        <v>200</v>
      </c>
      <c r="G87" s="351">
        <v>200</v>
      </c>
      <c r="H87" s="335">
        <v>200</v>
      </c>
      <c r="I87" s="238"/>
      <c r="K87" s="178"/>
      <c r="L87" s="178"/>
      <c r="M87" s="178"/>
    </row>
    <row r="88" spans="1:13" ht="12.75">
      <c r="A88" s="86">
        <v>637</v>
      </c>
      <c r="B88" s="87" t="s">
        <v>104</v>
      </c>
      <c r="C88" s="87" t="s">
        <v>589</v>
      </c>
      <c r="D88" s="333">
        <v>0</v>
      </c>
      <c r="E88" s="282">
        <v>0</v>
      </c>
      <c r="F88" s="321">
        <v>0</v>
      </c>
      <c r="G88" s="351">
        <v>0</v>
      </c>
      <c r="H88" s="335">
        <v>0</v>
      </c>
      <c r="I88" s="1051"/>
      <c r="K88" s="178"/>
      <c r="L88" s="178"/>
      <c r="M88" s="178"/>
    </row>
    <row r="89" spans="1:14" ht="12.75">
      <c r="A89" s="1065" t="s">
        <v>590</v>
      </c>
      <c r="B89" s="1066"/>
      <c r="C89" s="1067" t="s">
        <v>591</v>
      </c>
      <c r="D89" s="1068">
        <f>SUM(D7,D70,D77)</f>
        <v>182881.3</v>
      </c>
      <c r="E89" s="1069">
        <f>E7+E70+E77</f>
        <v>186653.9</v>
      </c>
      <c r="F89" s="1070">
        <f>F7+F70+F77</f>
        <v>193165</v>
      </c>
      <c r="G89" s="1071">
        <f>G7+G70+G77</f>
        <v>171285</v>
      </c>
      <c r="H89" s="1072">
        <f>H7+H70+H77</f>
        <v>171685</v>
      </c>
      <c r="I89" s="239"/>
      <c r="J89" s="96"/>
      <c r="K89" s="239"/>
      <c r="L89" s="239"/>
      <c r="M89" s="239"/>
      <c r="N89" s="1073"/>
    </row>
    <row r="90" spans="1:14" s="51" customFormat="1" ht="12.75">
      <c r="A90" s="178"/>
      <c r="B90" s="178"/>
      <c r="C90" s="178"/>
      <c r="D90" s="178"/>
      <c r="E90" s="1074"/>
      <c r="F90" s="1074"/>
      <c r="G90" s="1074"/>
      <c r="H90" s="113"/>
      <c r="N90" s="47"/>
    </row>
    <row r="91" spans="1:14" s="51" customFormat="1" ht="12.75">
      <c r="A91" s="178"/>
      <c r="B91" s="178"/>
      <c r="C91" s="178"/>
      <c r="D91" s="178"/>
      <c r="E91" s="1074"/>
      <c r="F91" s="1074"/>
      <c r="G91" s="1074"/>
      <c r="H91" s="113"/>
      <c r="N91" s="47"/>
    </row>
    <row r="92" spans="1:14" s="51" customFormat="1" ht="12.75" hidden="1">
      <c r="A92" s="178"/>
      <c r="B92" s="178"/>
      <c r="C92" s="178"/>
      <c r="D92" s="178"/>
      <c r="E92" s="1074"/>
      <c r="F92" s="1074"/>
      <c r="G92" s="1074"/>
      <c r="H92" s="113"/>
      <c r="N92" s="47"/>
    </row>
    <row r="93" spans="1:14" s="51" customFormat="1" ht="12.75" hidden="1">
      <c r="A93" s="178"/>
      <c r="B93" s="178"/>
      <c r="C93" s="178"/>
      <c r="D93" s="178"/>
      <c r="E93" s="1074"/>
      <c r="F93" s="1074"/>
      <c r="G93" s="1074"/>
      <c r="H93" s="113"/>
      <c r="N93" s="47"/>
    </row>
    <row r="94" spans="1:14" s="51" customFormat="1" ht="12.75" hidden="1">
      <c r="A94" s="178"/>
      <c r="B94" s="178"/>
      <c r="C94" s="178"/>
      <c r="D94" s="178"/>
      <c r="E94" s="1074"/>
      <c r="F94" s="1074"/>
      <c r="G94" s="1074"/>
      <c r="H94" s="113"/>
      <c r="N94" s="47"/>
    </row>
    <row r="95" spans="1:14" s="51" customFormat="1" ht="12.75">
      <c r="A95" s="178"/>
      <c r="B95" s="178"/>
      <c r="C95" s="178"/>
      <c r="D95" s="178"/>
      <c r="E95" s="1074"/>
      <c r="F95" s="1074"/>
      <c r="G95" s="1470" t="s">
        <v>592</v>
      </c>
      <c r="H95" s="1470"/>
      <c r="I95" s="349"/>
      <c r="K95" s="349"/>
      <c r="L95" s="349"/>
      <c r="M95" s="349"/>
      <c r="N95" s="47"/>
    </row>
    <row r="96" spans="1:14" s="51" customFormat="1" ht="12.75">
      <c r="A96" s="178"/>
      <c r="B96" s="178"/>
      <c r="C96" s="178"/>
      <c r="D96" s="178"/>
      <c r="E96" s="1074"/>
      <c r="F96" s="1074"/>
      <c r="G96" s="1074"/>
      <c r="H96" s="113"/>
      <c r="N96" s="47"/>
    </row>
    <row r="97" spans="1:14" s="948" customFormat="1" ht="12.75">
      <c r="A97" s="939" t="s">
        <v>478</v>
      </c>
      <c r="B97" s="940"/>
      <c r="C97" s="1075"/>
      <c r="D97" s="66">
        <v>2012</v>
      </c>
      <c r="E97" s="1076">
        <v>2013</v>
      </c>
      <c r="F97" s="1077">
        <v>2014</v>
      </c>
      <c r="G97" s="1078">
        <v>2015</v>
      </c>
      <c r="H97" s="1079">
        <v>2016</v>
      </c>
      <c r="I97" s="1080"/>
      <c r="J97" s="1081"/>
      <c r="K97" s="1082"/>
      <c r="L97" s="945"/>
      <c r="M97" s="946"/>
      <c r="N97" s="1083"/>
    </row>
    <row r="98" spans="1:14" s="365" customFormat="1" ht="12.75">
      <c r="A98" s="949" t="s">
        <v>593</v>
      </c>
      <c r="B98" s="1053"/>
      <c r="C98" s="1053"/>
      <c r="D98" s="1084">
        <f>SUM(D99,D101)</f>
        <v>520</v>
      </c>
      <c r="E98" s="1085">
        <f>SUM(E99,E100,E101)</f>
        <v>1000</v>
      </c>
      <c r="F98" s="1086">
        <f>F99+F100+F101</f>
        <v>1100</v>
      </c>
      <c r="G98" s="1087">
        <f>SUM(G99,G100,G101)</f>
        <v>1100</v>
      </c>
      <c r="H98" s="1088">
        <f>SUM(H99,H100,H101)</f>
        <v>1100</v>
      </c>
      <c r="I98" s="1089"/>
      <c r="J98" s="1090"/>
      <c r="K98" s="1091"/>
      <c r="L98" s="1091"/>
      <c r="M98" s="1091"/>
      <c r="N98" s="1092"/>
    </row>
    <row r="99" spans="1:14" s="51" customFormat="1" ht="12.75">
      <c r="A99" s="86">
        <v>632</v>
      </c>
      <c r="B99" s="103" t="s">
        <v>102</v>
      </c>
      <c r="C99" s="87" t="s">
        <v>594</v>
      </c>
      <c r="D99" s="333">
        <v>320</v>
      </c>
      <c r="E99" s="282">
        <v>250</v>
      </c>
      <c r="F99" s="321">
        <v>250</v>
      </c>
      <c r="G99" s="351">
        <v>250</v>
      </c>
      <c r="H99" s="335">
        <v>250</v>
      </c>
      <c r="I99" s="1093"/>
      <c r="J99" s="178"/>
      <c r="K99" s="178"/>
      <c r="L99" s="178"/>
      <c r="M99" s="178"/>
      <c r="N99" s="47"/>
    </row>
    <row r="100" spans="1:14" s="51" customFormat="1" ht="12.75">
      <c r="A100" s="86">
        <v>637</v>
      </c>
      <c r="B100" s="103" t="s">
        <v>123</v>
      </c>
      <c r="C100" s="87" t="s">
        <v>241</v>
      </c>
      <c r="D100" s="333"/>
      <c r="E100" s="282">
        <v>550</v>
      </c>
      <c r="F100" s="321">
        <v>600</v>
      </c>
      <c r="G100" s="351">
        <v>600</v>
      </c>
      <c r="H100" s="335">
        <v>600</v>
      </c>
      <c r="I100" s="1093"/>
      <c r="J100" s="178"/>
      <c r="K100" s="178"/>
      <c r="L100" s="178"/>
      <c r="M100" s="178"/>
      <c r="N100" s="47"/>
    </row>
    <row r="101" spans="1:14" ht="12.75">
      <c r="A101" s="86">
        <v>637</v>
      </c>
      <c r="B101" s="103" t="s">
        <v>582</v>
      </c>
      <c r="C101" s="87" t="s">
        <v>295</v>
      </c>
      <c r="D101" s="333">
        <v>200</v>
      </c>
      <c r="E101" s="282">
        <v>200</v>
      </c>
      <c r="F101" s="321">
        <v>250</v>
      </c>
      <c r="G101" s="351">
        <v>250</v>
      </c>
      <c r="H101" s="335">
        <v>250</v>
      </c>
      <c r="I101" s="213"/>
      <c r="J101" s="178"/>
      <c r="K101" s="178"/>
      <c r="L101" s="178"/>
      <c r="M101" s="178"/>
      <c r="N101" s="143"/>
    </row>
    <row r="102" spans="1:13" ht="12.75">
      <c r="A102" s="1065" t="s">
        <v>595</v>
      </c>
      <c r="B102" s="1066"/>
      <c r="C102" s="1067" t="s">
        <v>292</v>
      </c>
      <c r="D102" s="1094">
        <f>SUM(D99,D101)</f>
        <v>520</v>
      </c>
      <c r="E102" s="1095">
        <f>SUM(E99,E100,E101)</f>
        <v>1000</v>
      </c>
      <c r="F102" s="1096">
        <f>F98</f>
        <v>1100</v>
      </c>
      <c r="G102" s="1097">
        <f>G98</f>
        <v>1100</v>
      </c>
      <c r="H102" s="1098">
        <f>H98</f>
        <v>1100</v>
      </c>
      <c r="I102" s="239"/>
      <c r="J102" s="1090"/>
      <c r="K102" s="1055"/>
      <c r="L102" s="1055"/>
      <c r="M102" s="1055"/>
    </row>
    <row r="103" spans="1:9" ht="12.75">
      <c r="A103" s="1099"/>
      <c r="B103" s="178"/>
      <c r="C103" s="365"/>
      <c r="D103" s="365"/>
      <c r="E103" s="1100"/>
      <c r="F103" s="1100"/>
      <c r="G103" s="1100"/>
      <c r="H103" s="1101"/>
      <c r="I103" s="376"/>
    </row>
    <row r="104" spans="1:9" ht="12.75">
      <c r="A104" s="1099"/>
      <c r="B104" s="178"/>
      <c r="C104" s="365"/>
      <c r="D104" s="365"/>
      <c r="E104" s="1100"/>
      <c r="F104" s="1100"/>
      <c r="G104" s="1100"/>
      <c r="H104" s="1101"/>
      <c r="I104" s="376"/>
    </row>
    <row r="105" spans="1:13" ht="12.75">
      <c r="A105" s="1099"/>
      <c r="B105" s="178"/>
      <c r="C105" s="365"/>
      <c r="D105" s="365"/>
      <c r="E105" s="1100"/>
      <c r="F105" s="1100"/>
      <c r="G105" s="1470" t="s">
        <v>596</v>
      </c>
      <c r="H105" s="1470"/>
      <c r="I105" s="349"/>
      <c r="K105" s="349"/>
      <c r="L105" s="349"/>
      <c r="M105" s="349"/>
    </row>
    <row r="106" spans="1:13" ht="12.75">
      <c r="A106" s="1099"/>
      <c r="B106" s="178"/>
      <c r="C106" s="365"/>
      <c r="D106" s="365"/>
      <c r="E106" s="1100"/>
      <c r="F106" s="1100"/>
      <c r="G106" s="1100"/>
      <c r="H106" s="1101"/>
      <c r="I106" s="376"/>
      <c r="K106" s="1102"/>
      <c r="L106" s="1102"/>
      <c r="M106" s="1102"/>
    </row>
    <row r="107" spans="1:13" s="1083" customFormat="1" ht="12.75">
      <c r="A107" s="939" t="s">
        <v>478</v>
      </c>
      <c r="B107" s="940"/>
      <c r="C107" s="1075"/>
      <c r="D107" s="66">
        <v>2012</v>
      </c>
      <c r="E107" s="1076">
        <v>2013</v>
      </c>
      <c r="F107" s="1077">
        <v>2014</v>
      </c>
      <c r="G107" s="1078">
        <v>2015</v>
      </c>
      <c r="H107" s="1079">
        <v>2016</v>
      </c>
      <c r="I107" s="1080"/>
      <c r="J107" s="1081"/>
      <c r="K107" s="1082"/>
      <c r="L107" s="945"/>
      <c r="M107" s="946"/>
    </row>
    <row r="108" spans="1:13" s="48" customFormat="1" ht="12.75">
      <c r="A108" s="949" t="s">
        <v>597</v>
      </c>
      <c r="B108" s="1058"/>
      <c r="C108" s="1053"/>
      <c r="D108" s="1059">
        <f>D109+D110+D111+D112+D113+D119+D123+D124+D125</f>
        <v>51779</v>
      </c>
      <c r="E108" s="1054">
        <f>E109+E110+E111+E112+E113+E119+E123+E124+E125+E126</f>
        <v>54428</v>
      </c>
      <c r="F108" s="1103">
        <f>F109+F110+F111+F112+F113+F119+F123+F124+F125</f>
        <v>53630</v>
      </c>
      <c r="G108" s="1104">
        <f>G109+G110+G111+G112+G113+G119+G123+G124+G125</f>
        <v>54330</v>
      </c>
      <c r="H108" s="1105">
        <f>H109+H110+H111+H112+H113+H119+H123+H124+H125</f>
        <v>54330</v>
      </c>
      <c r="I108" s="1106"/>
      <c r="J108" s="1055"/>
      <c r="K108" s="957"/>
      <c r="L108" s="957"/>
      <c r="M108" s="957"/>
    </row>
    <row r="109" spans="1:14" s="51" customFormat="1" ht="12.75">
      <c r="A109" s="102">
        <v>610</v>
      </c>
      <c r="B109" s="103"/>
      <c r="C109" s="1061" t="s">
        <v>519</v>
      </c>
      <c r="D109" s="333">
        <v>31500</v>
      </c>
      <c r="E109" s="282">
        <v>31500</v>
      </c>
      <c r="F109" s="321">
        <v>32500</v>
      </c>
      <c r="G109" s="351">
        <v>32500</v>
      </c>
      <c r="H109" s="335">
        <v>32500</v>
      </c>
      <c r="I109" s="238"/>
      <c r="K109" s="201"/>
      <c r="L109" s="178"/>
      <c r="M109" s="178"/>
      <c r="N109" s="47"/>
    </row>
    <row r="110" spans="1:13" ht="12.75">
      <c r="A110" s="102">
        <v>620</v>
      </c>
      <c r="B110" s="103"/>
      <c r="C110" s="87" t="s">
        <v>227</v>
      </c>
      <c r="D110" s="333">
        <v>11500</v>
      </c>
      <c r="E110" s="282">
        <v>11500</v>
      </c>
      <c r="F110" s="321">
        <v>12000</v>
      </c>
      <c r="G110" s="351">
        <v>12000</v>
      </c>
      <c r="H110" s="335">
        <v>12000</v>
      </c>
      <c r="I110" s="238"/>
      <c r="K110" s="201"/>
      <c r="L110" s="178"/>
      <c r="M110" s="178"/>
    </row>
    <row r="111" spans="1:13" ht="12.75">
      <c r="A111" s="102">
        <v>631</v>
      </c>
      <c r="B111" s="103"/>
      <c r="C111" s="87" t="s">
        <v>598</v>
      </c>
      <c r="D111" s="333">
        <v>60</v>
      </c>
      <c r="E111" s="282">
        <v>50</v>
      </c>
      <c r="F111" s="321">
        <v>60</v>
      </c>
      <c r="G111" s="351">
        <v>60</v>
      </c>
      <c r="H111" s="335">
        <v>60</v>
      </c>
      <c r="I111" s="238"/>
      <c r="K111" s="201"/>
      <c r="L111" s="178"/>
      <c r="M111" s="178"/>
    </row>
    <row r="112" spans="1:13" ht="12.75">
      <c r="A112" s="102">
        <v>632</v>
      </c>
      <c r="B112" s="103"/>
      <c r="C112" s="87" t="s">
        <v>231</v>
      </c>
      <c r="D112" s="333">
        <v>1650</v>
      </c>
      <c r="E112" s="282">
        <v>1900</v>
      </c>
      <c r="F112" s="321">
        <v>1500</v>
      </c>
      <c r="G112" s="351">
        <v>1500</v>
      </c>
      <c r="H112" s="335">
        <v>1500</v>
      </c>
      <c r="I112" s="238"/>
      <c r="K112" s="201"/>
      <c r="L112" s="178"/>
      <c r="M112" s="178"/>
    </row>
    <row r="113" spans="1:13" ht="12.75">
      <c r="A113" s="102">
        <v>633</v>
      </c>
      <c r="B113" s="103"/>
      <c r="C113" s="87" t="s">
        <v>233</v>
      </c>
      <c r="D113" s="194">
        <f>D116+D117+D118+D114</f>
        <v>1403</v>
      </c>
      <c r="E113" s="123">
        <f>SUM(E114,E115,E116,E117,E118)</f>
        <v>1808</v>
      </c>
      <c r="F113" s="124">
        <f>F116+F117+F118+F114</f>
        <v>1150</v>
      </c>
      <c r="G113" s="125">
        <f>G116+G117+G118+G114</f>
        <v>1150</v>
      </c>
      <c r="H113" s="126">
        <f>H116+H117+H118+H114</f>
        <v>1150</v>
      </c>
      <c r="I113" s="238"/>
      <c r="J113" s="238"/>
      <c r="K113" s="238"/>
      <c r="L113" s="238"/>
      <c r="M113" s="238"/>
    </row>
    <row r="114" spans="1:13" ht="12.75">
      <c r="A114" s="102">
        <v>633</v>
      </c>
      <c r="B114" s="103" t="s">
        <v>107</v>
      </c>
      <c r="C114" s="87" t="s">
        <v>599</v>
      </c>
      <c r="D114" s="1063">
        <v>92</v>
      </c>
      <c r="E114" s="127">
        <v>0</v>
      </c>
      <c r="F114" s="128">
        <v>100</v>
      </c>
      <c r="G114" s="129">
        <v>100</v>
      </c>
      <c r="H114" s="130">
        <v>100</v>
      </c>
      <c r="I114" s="238"/>
      <c r="J114" s="238"/>
      <c r="K114" s="238"/>
      <c r="L114" s="238"/>
      <c r="M114" s="238"/>
    </row>
    <row r="115" spans="1:13" ht="12.75">
      <c r="A115" s="102">
        <v>633</v>
      </c>
      <c r="B115" s="103" t="s">
        <v>123</v>
      </c>
      <c r="C115" s="87" t="s">
        <v>600</v>
      </c>
      <c r="D115" s="1063"/>
      <c r="E115" s="127">
        <v>588</v>
      </c>
      <c r="F115" s="128"/>
      <c r="G115" s="129"/>
      <c r="H115" s="130"/>
      <c r="I115" s="238"/>
      <c r="J115" s="238"/>
      <c r="K115" s="238"/>
      <c r="L115" s="238"/>
      <c r="M115" s="238"/>
    </row>
    <row r="116" spans="1:13" ht="12.75">
      <c r="A116" s="102">
        <v>633</v>
      </c>
      <c r="B116" s="103" t="s">
        <v>140</v>
      </c>
      <c r="C116" s="87" t="s">
        <v>398</v>
      </c>
      <c r="D116" s="1063">
        <v>508</v>
      </c>
      <c r="E116" s="127">
        <v>700</v>
      </c>
      <c r="F116" s="128">
        <v>500</v>
      </c>
      <c r="G116" s="129">
        <v>500</v>
      </c>
      <c r="H116" s="130">
        <v>500</v>
      </c>
      <c r="I116" s="1051"/>
      <c r="K116" s="1107"/>
      <c r="L116" s="1107"/>
      <c r="M116" s="1107"/>
    </row>
    <row r="117" spans="1:13" ht="12.75">
      <c r="A117" s="102">
        <v>633</v>
      </c>
      <c r="B117" s="103" t="s">
        <v>532</v>
      </c>
      <c r="C117" s="87" t="s">
        <v>601</v>
      </c>
      <c r="D117" s="1063">
        <v>50</v>
      </c>
      <c r="E117" s="127">
        <v>20</v>
      </c>
      <c r="F117" s="128">
        <v>50</v>
      </c>
      <c r="G117" s="129">
        <v>50</v>
      </c>
      <c r="H117" s="130">
        <v>50</v>
      </c>
      <c r="I117" s="1051"/>
      <c r="K117" s="1107"/>
      <c r="L117" s="1107"/>
      <c r="M117" s="1107"/>
    </row>
    <row r="118" spans="1:13" ht="12.75">
      <c r="A118" s="102">
        <v>633</v>
      </c>
      <c r="B118" s="103" t="s">
        <v>534</v>
      </c>
      <c r="C118" s="87" t="s">
        <v>602</v>
      </c>
      <c r="D118" s="1063">
        <v>753</v>
      </c>
      <c r="E118" s="127">
        <v>500</v>
      </c>
      <c r="F118" s="128">
        <v>500</v>
      </c>
      <c r="G118" s="129">
        <v>500</v>
      </c>
      <c r="H118" s="130">
        <v>500</v>
      </c>
      <c r="I118" s="1051"/>
      <c r="K118" s="1107"/>
      <c r="L118" s="1107"/>
      <c r="M118" s="178"/>
    </row>
    <row r="119" spans="1:13" ht="12.75">
      <c r="A119" s="102">
        <v>634</v>
      </c>
      <c r="B119" s="103"/>
      <c r="C119" s="87" t="s">
        <v>235</v>
      </c>
      <c r="D119" s="333">
        <v>5200</v>
      </c>
      <c r="E119" s="282">
        <f>E120+E121+E122</f>
        <v>5300</v>
      </c>
      <c r="F119" s="321">
        <f>SUM(F120,F121,F122)</f>
        <v>5500</v>
      </c>
      <c r="G119" s="351">
        <f>SUM(G120,G121,G122)</f>
        <v>6200</v>
      </c>
      <c r="H119" s="335">
        <f>SUM(H120,H121,H122)</f>
        <v>6200</v>
      </c>
      <c r="I119" s="238"/>
      <c r="K119" s="178"/>
      <c r="L119" s="178"/>
      <c r="M119" s="178"/>
    </row>
    <row r="120" spans="1:14" ht="12.75">
      <c r="A120" s="102">
        <v>634</v>
      </c>
      <c r="B120" s="103" t="s">
        <v>104</v>
      </c>
      <c r="C120" s="87" t="s">
        <v>603</v>
      </c>
      <c r="D120" s="1063">
        <v>4100</v>
      </c>
      <c r="E120" s="127">
        <v>3200</v>
      </c>
      <c r="F120" s="128">
        <v>4000</v>
      </c>
      <c r="G120" s="129">
        <v>4400</v>
      </c>
      <c r="H120" s="130">
        <v>4400</v>
      </c>
      <c r="I120" s="1051"/>
      <c r="K120" s="1051"/>
      <c r="L120" s="1107"/>
      <c r="M120" s="1107"/>
      <c r="N120" s="85"/>
    </row>
    <row r="121" spans="1:13" ht="12.75">
      <c r="A121" s="102">
        <v>634</v>
      </c>
      <c r="B121" s="103" t="s">
        <v>107</v>
      </c>
      <c r="C121" s="87" t="s">
        <v>604</v>
      </c>
      <c r="D121" s="1063">
        <v>800</v>
      </c>
      <c r="E121" s="127">
        <v>1800</v>
      </c>
      <c r="F121" s="128">
        <v>1200</v>
      </c>
      <c r="G121" s="129">
        <v>1500</v>
      </c>
      <c r="H121" s="130">
        <v>1500</v>
      </c>
      <c r="I121" s="1051"/>
      <c r="K121" s="1107"/>
      <c r="L121" s="1107"/>
      <c r="M121" s="1107"/>
    </row>
    <row r="122" spans="1:14" ht="12.75">
      <c r="A122" s="102">
        <v>634</v>
      </c>
      <c r="B122" s="103" t="s">
        <v>102</v>
      </c>
      <c r="C122" s="87" t="s">
        <v>605</v>
      </c>
      <c r="D122" s="1063">
        <v>300</v>
      </c>
      <c r="E122" s="127">
        <v>300</v>
      </c>
      <c r="F122" s="128">
        <v>300</v>
      </c>
      <c r="G122" s="129">
        <v>300</v>
      </c>
      <c r="H122" s="130">
        <v>300</v>
      </c>
      <c r="I122" s="1051"/>
      <c r="K122" s="1107"/>
      <c r="L122" s="1107"/>
      <c r="M122" s="1107"/>
      <c r="N122" s="143"/>
    </row>
    <row r="123" spans="1:14" ht="12.75">
      <c r="A123" s="102">
        <v>635</v>
      </c>
      <c r="B123" s="103"/>
      <c r="C123" s="87" t="s">
        <v>606</v>
      </c>
      <c r="D123" s="333">
        <v>36</v>
      </c>
      <c r="E123" s="282">
        <v>1400</v>
      </c>
      <c r="F123" s="321">
        <v>500</v>
      </c>
      <c r="G123" s="351">
        <v>500</v>
      </c>
      <c r="H123" s="335">
        <v>500</v>
      </c>
      <c r="I123" s="1051"/>
      <c r="K123" s="1107"/>
      <c r="L123" s="1107"/>
      <c r="M123" s="1107"/>
      <c r="N123" s="143"/>
    </row>
    <row r="124" spans="1:14" ht="12.75">
      <c r="A124" s="102">
        <v>637</v>
      </c>
      <c r="B124" s="103"/>
      <c r="C124" s="87" t="s">
        <v>607</v>
      </c>
      <c r="D124" s="333">
        <v>364</v>
      </c>
      <c r="E124" s="282">
        <v>870</v>
      </c>
      <c r="F124" s="321">
        <v>350</v>
      </c>
      <c r="G124" s="351">
        <v>350</v>
      </c>
      <c r="H124" s="335">
        <v>350</v>
      </c>
      <c r="I124" s="238"/>
      <c r="K124" s="178"/>
      <c r="L124" s="178"/>
      <c r="M124" s="178"/>
      <c r="N124" s="143"/>
    </row>
    <row r="125" spans="1:13" ht="12.75">
      <c r="A125" s="102">
        <v>642</v>
      </c>
      <c r="B125" s="103"/>
      <c r="C125" s="87" t="s">
        <v>608</v>
      </c>
      <c r="D125" s="333">
        <v>66</v>
      </c>
      <c r="E125" s="282">
        <v>0</v>
      </c>
      <c r="F125" s="321">
        <v>70</v>
      </c>
      <c r="G125" s="351">
        <v>70</v>
      </c>
      <c r="H125" s="335">
        <v>70</v>
      </c>
      <c r="I125" s="238"/>
      <c r="K125" s="178"/>
      <c r="L125" s="178"/>
      <c r="M125" s="178"/>
    </row>
    <row r="126" spans="1:14" ht="12.75">
      <c r="A126" s="131">
        <v>637</v>
      </c>
      <c r="B126" s="132" t="s">
        <v>574</v>
      </c>
      <c r="C126" s="195" t="s">
        <v>310</v>
      </c>
      <c r="D126" s="384">
        <v>0</v>
      </c>
      <c r="E126" s="385">
        <v>100</v>
      </c>
      <c r="F126" s="386">
        <v>0</v>
      </c>
      <c r="G126" s="1108">
        <v>0</v>
      </c>
      <c r="H126" s="388">
        <v>0</v>
      </c>
      <c r="I126" s="238"/>
      <c r="K126" s="178"/>
      <c r="L126" s="178"/>
      <c r="M126" s="178"/>
      <c r="N126" s="1109"/>
    </row>
    <row r="127" spans="1:8" ht="12.75">
      <c r="A127" s="1110"/>
      <c r="B127" s="51"/>
      <c r="C127" s="51"/>
      <c r="D127" s="934"/>
      <c r="E127" s="268"/>
      <c r="F127" s="268"/>
      <c r="G127" s="268"/>
      <c r="H127" s="268"/>
    </row>
    <row r="128" spans="1:13" s="48" customFormat="1" ht="12.75">
      <c r="A128" s="1111" t="s">
        <v>609</v>
      </c>
      <c r="B128" s="1112"/>
      <c r="C128" s="1112"/>
      <c r="D128" s="1113">
        <f>SUM(D129,D130,D136,D140,D141,D142)</f>
        <v>6600</v>
      </c>
      <c r="E128" s="1114">
        <f>SUM(E129,E130,E136,E140,E141,E142)</f>
        <v>3300</v>
      </c>
      <c r="F128" s="1115">
        <f>SUM(F129,F130,F136,F140,F141,F142)</f>
        <v>4050</v>
      </c>
      <c r="G128" s="1116">
        <f>SUM(G129,G130,G136,G140,G141,G142)</f>
        <v>4000</v>
      </c>
      <c r="H128" s="1117">
        <f>SUM(H129,H130,H136,H140,H141,H142)</f>
        <v>4000</v>
      </c>
      <c r="I128" s="957"/>
      <c r="J128" s="1055"/>
      <c r="K128" s="957"/>
      <c r="L128" s="957"/>
      <c r="M128" s="957"/>
    </row>
    <row r="129" spans="1:14" s="51" customFormat="1" ht="12.75">
      <c r="A129" s="86">
        <v>632</v>
      </c>
      <c r="B129" s="103"/>
      <c r="C129" s="87" t="s">
        <v>231</v>
      </c>
      <c r="D129" s="333">
        <v>2300</v>
      </c>
      <c r="E129" s="282">
        <v>2000</v>
      </c>
      <c r="F129" s="321">
        <v>2300</v>
      </c>
      <c r="G129" s="351">
        <v>2300</v>
      </c>
      <c r="H129" s="335">
        <v>2300</v>
      </c>
      <c r="I129" s="238"/>
      <c r="K129" s="201"/>
      <c r="L129" s="178"/>
      <c r="M129" s="178"/>
      <c r="N129" s="47"/>
    </row>
    <row r="130" spans="1:13" ht="12.75">
      <c r="A130" s="86">
        <v>633</v>
      </c>
      <c r="B130" s="103"/>
      <c r="C130" s="87" t="s">
        <v>233</v>
      </c>
      <c r="D130" s="333">
        <v>2600</v>
      </c>
      <c r="E130" s="282">
        <f>E131+E132+E133+E134+E135</f>
        <v>200</v>
      </c>
      <c r="F130" s="321">
        <f>F131+F132+F133+F134+F135</f>
        <v>500</v>
      </c>
      <c r="G130" s="351">
        <f>G131+G132+G133+G134+G135</f>
        <v>500</v>
      </c>
      <c r="H130" s="335">
        <f>H131+H132+H133+H134+H135</f>
        <v>500</v>
      </c>
      <c r="I130" s="238"/>
      <c r="K130" s="201"/>
      <c r="L130" s="201"/>
      <c r="M130" s="201"/>
    </row>
    <row r="131" spans="1:13" ht="12.75">
      <c r="A131" s="86">
        <v>633</v>
      </c>
      <c r="B131" s="103" t="s">
        <v>104</v>
      </c>
      <c r="C131" s="87" t="s">
        <v>610</v>
      </c>
      <c r="D131" s="1063">
        <v>0</v>
      </c>
      <c r="E131" s="127">
        <v>0</v>
      </c>
      <c r="F131" s="128">
        <v>0</v>
      </c>
      <c r="G131" s="129">
        <v>0</v>
      </c>
      <c r="H131" s="130">
        <v>0</v>
      </c>
      <c r="I131" s="1051"/>
      <c r="K131" s="178"/>
      <c r="L131" s="1107"/>
      <c r="M131" s="1107"/>
    </row>
    <row r="132" spans="1:13" ht="12.75">
      <c r="A132" s="998">
        <v>633</v>
      </c>
      <c r="B132" s="1015" t="s">
        <v>123</v>
      </c>
      <c r="C132" s="999" t="s">
        <v>611</v>
      </c>
      <c r="D132" s="1062">
        <v>2100</v>
      </c>
      <c r="E132" s="1038">
        <v>0</v>
      </c>
      <c r="F132" s="976">
        <v>0</v>
      </c>
      <c r="G132" s="1039">
        <v>0</v>
      </c>
      <c r="H132" s="1040">
        <v>0</v>
      </c>
      <c r="I132" s="1064"/>
      <c r="K132" s="1118"/>
      <c r="L132" s="947"/>
      <c r="M132" s="1107"/>
    </row>
    <row r="133" spans="1:13" ht="12.75">
      <c r="A133" s="86">
        <v>633</v>
      </c>
      <c r="B133" s="103" t="s">
        <v>123</v>
      </c>
      <c r="C133" s="87" t="s">
        <v>611</v>
      </c>
      <c r="D133" s="1063">
        <v>400</v>
      </c>
      <c r="E133" s="127">
        <v>100</v>
      </c>
      <c r="F133" s="128">
        <v>400</v>
      </c>
      <c r="G133" s="129">
        <v>400</v>
      </c>
      <c r="H133" s="130">
        <v>400</v>
      </c>
      <c r="I133" s="1051"/>
      <c r="K133" s="201"/>
      <c r="L133" s="1107"/>
      <c r="M133" s="1107"/>
    </row>
    <row r="134" spans="1:13" ht="12.75">
      <c r="A134" s="225">
        <v>633</v>
      </c>
      <c r="B134" s="228" t="s">
        <v>140</v>
      </c>
      <c r="C134" s="166" t="s">
        <v>398</v>
      </c>
      <c r="D134" s="1063">
        <v>100</v>
      </c>
      <c r="E134" s="127">
        <v>100</v>
      </c>
      <c r="F134" s="128">
        <v>100</v>
      </c>
      <c r="G134" s="129">
        <v>100</v>
      </c>
      <c r="H134" s="130">
        <v>100</v>
      </c>
      <c r="I134" s="1051"/>
      <c r="K134" s="178"/>
      <c r="L134" s="1107"/>
      <c r="M134" s="1107"/>
    </row>
    <row r="135" spans="1:13" ht="12.75">
      <c r="A135" s="86">
        <v>633</v>
      </c>
      <c r="B135" s="103" t="s">
        <v>539</v>
      </c>
      <c r="C135" s="87" t="s">
        <v>399</v>
      </c>
      <c r="D135" s="1063">
        <v>0</v>
      </c>
      <c r="E135" s="127">
        <v>0</v>
      </c>
      <c r="F135" s="128">
        <v>0</v>
      </c>
      <c r="G135" s="129">
        <v>0</v>
      </c>
      <c r="H135" s="130">
        <v>0</v>
      </c>
      <c r="I135" s="1051"/>
      <c r="K135" s="178"/>
      <c r="L135" s="1107"/>
      <c r="M135" s="178"/>
    </row>
    <row r="136" spans="1:13" ht="12.75">
      <c r="A136" s="289">
        <v>634</v>
      </c>
      <c r="B136" s="143"/>
      <c r="C136" s="178" t="s">
        <v>235</v>
      </c>
      <c r="D136" s="333">
        <f>D137+D138+D139</f>
        <v>650</v>
      </c>
      <c r="E136" s="282">
        <f>E137+E138+E139</f>
        <v>550</v>
      </c>
      <c r="F136" s="321">
        <f>F137+F138+F139</f>
        <v>700</v>
      </c>
      <c r="G136" s="351">
        <f>G137+G138+G139</f>
        <v>650</v>
      </c>
      <c r="H136" s="335">
        <f>H137+H138+H139</f>
        <v>650</v>
      </c>
      <c r="I136" s="238"/>
      <c r="K136" s="178"/>
      <c r="L136" s="178"/>
      <c r="M136" s="178"/>
    </row>
    <row r="137" spans="1:14" ht="12.75">
      <c r="A137" s="102">
        <v>634</v>
      </c>
      <c r="B137" s="103" t="s">
        <v>104</v>
      </c>
      <c r="C137" s="87" t="s">
        <v>603</v>
      </c>
      <c r="D137" s="1063">
        <v>200</v>
      </c>
      <c r="E137" s="127">
        <v>250</v>
      </c>
      <c r="F137" s="128">
        <v>250</v>
      </c>
      <c r="G137" s="129">
        <v>200</v>
      </c>
      <c r="H137" s="130">
        <v>200</v>
      </c>
      <c r="I137" s="1051"/>
      <c r="K137" s="1107"/>
      <c r="L137" s="1107"/>
      <c r="M137" s="1107"/>
      <c r="N137" s="1016"/>
    </row>
    <row r="138" spans="1:13" ht="12.75">
      <c r="A138" s="102">
        <v>634</v>
      </c>
      <c r="B138" s="103" t="s">
        <v>123</v>
      </c>
      <c r="C138" s="87" t="s">
        <v>389</v>
      </c>
      <c r="D138" s="1063">
        <v>250</v>
      </c>
      <c r="E138" s="127">
        <v>200</v>
      </c>
      <c r="F138" s="128">
        <v>250</v>
      </c>
      <c r="G138" s="129">
        <v>250</v>
      </c>
      <c r="H138" s="130">
        <v>250</v>
      </c>
      <c r="I138" s="1051"/>
      <c r="K138" s="1107"/>
      <c r="L138" s="1107"/>
      <c r="M138" s="1107"/>
    </row>
    <row r="139" spans="1:13" ht="12.75">
      <c r="A139" s="102">
        <v>634</v>
      </c>
      <c r="B139" s="103" t="s">
        <v>102</v>
      </c>
      <c r="C139" s="87" t="s">
        <v>605</v>
      </c>
      <c r="D139" s="1063">
        <v>200</v>
      </c>
      <c r="E139" s="127">
        <v>100</v>
      </c>
      <c r="F139" s="128">
        <v>200</v>
      </c>
      <c r="G139" s="129">
        <v>200</v>
      </c>
      <c r="H139" s="130">
        <v>200</v>
      </c>
      <c r="I139" s="1051"/>
      <c r="K139" s="1107"/>
      <c r="L139" s="1107"/>
      <c r="M139" s="1107"/>
    </row>
    <row r="140" spans="1:13" ht="12.75">
      <c r="A140" s="86">
        <v>635</v>
      </c>
      <c r="B140" s="103"/>
      <c r="C140" s="87" t="s">
        <v>335</v>
      </c>
      <c r="D140" s="333">
        <v>50</v>
      </c>
      <c r="E140" s="282">
        <v>50</v>
      </c>
      <c r="F140" s="321">
        <v>50</v>
      </c>
      <c r="G140" s="351">
        <v>50</v>
      </c>
      <c r="H140" s="335">
        <v>50</v>
      </c>
      <c r="I140" s="238"/>
      <c r="K140" s="178"/>
      <c r="L140" s="178"/>
      <c r="M140" s="178"/>
    </row>
    <row r="141" spans="1:13" ht="12.75">
      <c r="A141" s="998">
        <v>637</v>
      </c>
      <c r="B141" s="1015" t="s">
        <v>135</v>
      </c>
      <c r="C141" s="999" t="s">
        <v>363</v>
      </c>
      <c r="D141" s="1063">
        <v>0</v>
      </c>
      <c r="E141" s="127">
        <v>0</v>
      </c>
      <c r="F141" s="128">
        <v>0</v>
      </c>
      <c r="G141" s="129">
        <v>0</v>
      </c>
      <c r="H141" s="130">
        <v>0</v>
      </c>
      <c r="I141" s="1041"/>
      <c r="K141" s="1118"/>
      <c r="L141" s="947"/>
      <c r="M141" s="178"/>
    </row>
    <row r="142" spans="1:14" ht="12.75">
      <c r="A142" s="86">
        <v>637</v>
      </c>
      <c r="B142" s="103"/>
      <c r="C142" s="87" t="s">
        <v>607</v>
      </c>
      <c r="D142" s="333">
        <v>1000</v>
      </c>
      <c r="E142" s="282">
        <v>500</v>
      </c>
      <c r="F142" s="321">
        <v>500</v>
      </c>
      <c r="G142" s="351">
        <v>500</v>
      </c>
      <c r="H142" s="335">
        <v>500</v>
      </c>
      <c r="I142" s="238"/>
      <c r="K142" s="178"/>
      <c r="L142" s="178"/>
      <c r="M142" s="178"/>
      <c r="N142" s="1119"/>
    </row>
    <row r="143" spans="1:14" ht="12.75">
      <c r="A143" s="1065" t="s">
        <v>612</v>
      </c>
      <c r="B143" s="1066"/>
      <c r="C143" s="1067" t="s">
        <v>613</v>
      </c>
      <c r="D143" s="1094">
        <f>SUM(D108,D128)</f>
        <v>58379</v>
      </c>
      <c r="E143" s="1069">
        <f>E108+E128</f>
        <v>57728</v>
      </c>
      <c r="F143" s="1070">
        <f>F108+F128</f>
        <v>57680</v>
      </c>
      <c r="G143" s="1071">
        <f>G108+G128</f>
        <v>58330</v>
      </c>
      <c r="H143" s="1072">
        <f>H108+H128</f>
        <v>58330</v>
      </c>
      <c r="I143" s="239"/>
      <c r="J143" s="1090"/>
      <c r="K143" s="957"/>
      <c r="L143" s="957"/>
      <c r="M143" s="957"/>
      <c r="N143" s="1109"/>
    </row>
    <row r="144" spans="1:13" ht="12.75">
      <c r="A144" s="1120"/>
      <c r="B144" s="1121"/>
      <c r="C144" s="1122"/>
      <c r="D144" s="1122"/>
      <c r="E144" s="1123"/>
      <c r="F144" s="1123"/>
      <c r="G144" s="1123"/>
      <c r="H144" s="1124"/>
      <c r="I144" s="376"/>
      <c r="J144" s="1125"/>
      <c r="K144" s="253"/>
      <c r="L144" s="253"/>
      <c r="M144" s="253"/>
    </row>
    <row r="145" spans="1:13" ht="12.75">
      <c r="A145" s="1120"/>
      <c r="B145" s="1121"/>
      <c r="C145" s="1122"/>
      <c r="D145" s="1122"/>
      <c r="E145" s="1123"/>
      <c r="F145" s="1123"/>
      <c r="G145" s="1123"/>
      <c r="H145" s="1124"/>
      <c r="I145" s="376"/>
      <c r="J145" s="1125"/>
      <c r="K145" s="253"/>
      <c r="L145" s="253"/>
      <c r="M145" s="253"/>
    </row>
    <row r="146" spans="1:13" ht="12.75">
      <c r="A146" s="1120"/>
      <c r="B146" s="1121"/>
      <c r="C146" s="1122"/>
      <c r="D146" s="1122"/>
      <c r="E146" s="1123"/>
      <c r="F146" s="1123"/>
      <c r="G146" s="1123"/>
      <c r="H146" s="1124"/>
      <c r="I146" s="376"/>
      <c r="J146" s="1125"/>
      <c r="K146" s="253"/>
      <c r="L146" s="253"/>
      <c r="M146" s="253"/>
    </row>
    <row r="147" spans="1:13" ht="12.75" hidden="1">
      <c r="A147" s="1120"/>
      <c r="B147" s="1121"/>
      <c r="C147" s="1122"/>
      <c r="D147" s="1122"/>
      <c r="E147" s="1123"/>
      <c r="F147" s="1123"/>
      <c r="G147" s="1123"/>
      <c r="H147" s="1124"/>
      <c r="I147" s="376"/>
      <c r="J147" s="1125"/>
      <c r="K147" s="253"/>
      <c r="L147" s="253"/>
      <c r="M147" s="253"/>
    </row>
    <row r="148" spans="1:13" ht="12.75">
      <c r="A148" s="1120"/>
      <c r="B148" s="1121"/>
      <c r="C148" s="1122"/>
      <c r="D148" s="1122"/>
      <c r="E148" s="1123"/>
      <c r="F148" s="1123"/>
      <c r="G148" s="1123"/>
      <c r="H148" s="1124"/>
      <c r="I148" s="376"/>
      <c r="J148" s="1125"/>
      <c r="K148" s="253"/>
      <c r="L148" s="253"/>
      <c r="M148" s="253"/>
    </row>
    <row r="149" spans="1:13" ht="12.75" hidden="1">
      <c r="A149" s="1120"/>
      <c r="B149" s="1121"/>
      <c r="C149" s="1122"/>
      <c r="D149" s="1122"/>
      <c r="E149" s="1123"/>
      <c r="F149" s="1123"/>
      <c r="G149" s="1123"/>
      <c r="H149" s="1124"/>
      <c r="I149" s="376"/>
      <c r="J149" s="1125"/>
      <c r="K149" s="253"/>
      <c r="L149" s="253"/>
      <c r="M149" s="253"/>
    </row>
    <row r="150" spans="1:13" ht="12.75" hidden="1">
      <c r="A150" s="1120"/>
      <c r="B150" s="1121"/>
      <c r="C150" s="1122"/>
      <c r="D150" s="1122"/>
      <c r="E150" s="1123"/>
      <c r="F150" s="1123"/>
      <c r="G150" s="1123"/>
      <c r="H150" s="1124"/>
      <c r="I150" s="376"/>
      <c r="J150" s="1125"/>
      <c r="K150" s="253"/>
      <c r="L150" s="253"/>
      <c r="M150" s="253"/>
    </row>
    <row r="151" spans="1:13" ht="12.75">
      <c r="A151" s="1099"/>
      <c r="B151" s="178"/>
      <c r="C151" s="365"/>
      <c r="D151" s="365"/>
      <c r="E151" s="1496" t="s">
        <v>614</v>
      </c>
      <c r="F151" s="1496"/>
      <c r="G151" s="1496"/>
      <c r="H151" s="1496"/>
      <c r="I151" s="1126"/>
      <c r="J151" s="1126"/>
      <c r="K151" s="1126"/>
      <c r="L151" s="1126"/>
      <c r="M151" s="1126"/>
    </row>
    <row r="152" spans="1:9" ht="12.75">
      <c r="A152" s="1099"/>
      <c r="B152" s="178"/>
      <c r="C152" s="365"/>
      <c r="D152" s="365"/>
      <c r="E152" s="1100"/>
      <c r="F152" s="1100"/>
      <c r="G152" s="1100"/>
      <c r="H152" s="1101"/>
      <c r="I152" s="376"/>
    </row>
    <row r="153" spans="1:13" s="1083" customFormat="1" ht="12.75">
      <c r="A153" s="939" t="s">
        <v>478</v>
      </c>
      <c r="B153" s="940"/>
      <c r="C153" s="1075"/>
      <c r="D153" s="66">
        <v>2012</v>
      </c>
      <c r="E153" s="1076">
        <v>2013</v>
      </c>
      <c r="F153" s="1077">
        <v>2014</v>
      </c>
      <c r="G153" s="1078">
        <v>2015</v>
      </c>
      <c r="H153" s="1079">
        <v>2016</v>
      </c>
      <c r="I153" s="1080"/>
      <c r="J153" s="1081"/>
      <c r="K153" s="1082"/>
      <c r="L153" s="945"/>
      <c r="M153" s="946"/>
    </row>
    <row r="154" spans="1:13" s="48" customFormat="1" ht="12.75">
      <c r="A154" s="1127" t="s">
        <v>615</v>
      </c>
      <c r="B154" s="1128"/>
      <c r="C154" s="1128"/>
      <c r="D154" s="1059">
        <f>SUM(D155,D156,D157,D158,D162,D166,D167,D168)</f>
        <v>87889</v>
      </c>
      <c r="E154" s="1054">
        <f>SUM(E155,E156,E157,E158,E162,E166,E167,E168,E169)</f>
        <v>79270</v>
      </c>
      <c r="F154" s="1103">
        <f>SUM(F155,F156,F157,F158,F162,F166,F167,F168,F169)</f>
        <v>97970</v>
      </c>
      <c r="G154" s="1104">
        <f>SUM(G155,G156,G157,G158,G162,G166,G167,G168,G169)</f>
        <v>98670</v>
      </c>
      <c r="H154" s="1105">
        <f>SUM(H155,H156,H157,H158,H162,H166,H167,H168,H169)</f>
        <v>99170</v>
      </c>
      <c r="I154" s="1106"/>
      <c r="J154" s="1090"/>
      <c r="K154" s="957"/>
      <c r="L154" s="957"/>
      <c r="M154" s="957"/>
    </row>
    <row r="155" spans="1:14" s="51" customFormat="1" ht="12.75">
      <c r="A155" s="102">
        <v>610</v>
      </c>
      <c r="B155" s="103"/>
      <c r="C155" s="1061" t="s">
        <v>519</v>
      </c>
      <c r="D155" s="333">
        <v>54000</v>
      </c>
      <c r="E155" s="282">
        <v>47000</v>
      </c>
      <c r="F155" s="321">
        <v>60000</v>
      </c>
      <c r="G155" s="351">
        <v>60000</v>
      </c>
      <c r="H155" s="335">
        <v>60000</v>
      </c>
      <c r="I155" s="238"/>
      <c r="K155" s="201"/>
      <c r="L155" s="201"/>
      <c r="M155" s="201"/>
      <c r="N155" s="47"/>
    </row>
    <row r="156" spans="1:13" ht="12.75">
      <c r="A156" s="102">
        <v>620</v>
      </c>
      <c r="B156" s="103"/>
      <c r="C156" s="87" t="s">
        <v>227</v>
      </c>
      <c r="D156" s="333">
        <v>19300</v>
      </c>
      <c r="E156" s="282">
        <v>17300</v>
      </c>
      <c r="F156" s="321">
        <v>22000</v>
      </c>
      <c r="G156" s="351">
        <v>22000</v>
      </c>
      <c r="H156" s="335">
        <v>22000</v>
      </c>
      <c r="I156" s="238"/>
      <c r="K156" s="201"/>
      <c r="L156" s="201"/>
      <c r="M156" s="201"/>
    </row>
    <row r="157" spans="1:13" ht="12.75">
      <c r="A157" s="102">
        <v>632</v>
      </c>
      <c r="B157" s="103"/>
      <c r="C157" s="87" t="s">
        <v>231</v>
      </c>
      <c r="D157" s="333">
        <v>1500</v>
      </c>
      <c r="E157" s="282">
        <v>1500</v>
      </c>
      <c r="F157" s="321">
        <v>1800</v>
      </c>
      <c r="G157" s="351">
        <v>1800</v>
      </c>
      <c r="H157" s="335">
        <v>1800</v>
      </c>
      <c r="I157" s="238"/>
      <c r="K157" s="201"/>
      <c r="L157" s="178"/>
      <c r="M157" s="178"/>
    </row>
    <row r="158" spans="1:13" ht="12.75">
      <c r="A158" s="165">
        <v>633</v>
      </c>
      <c r="B158" s="228"/>
      <c r="C158" s="166" t="s">
        <v>233</v>
      </c>
      <c r="D158" s="194">
        <f>D160+D161+D159</f>
        <v>400</v>
      </c>
      <c r="E158" s="123">
        <f>E159+E160+E161</f>
        <v>1800</v>
      </c>
      <c r="F158" s="124">
        <f>F160+F161+F159</f>
        <v>2300</v>
      </c>
      <c r="G158" s="125">
        <f>G160+G161+G159</f>
        <v>2500</v>
      </c>
      <c r="H158" s="126">
        <f>H160+H161+H159</f>
        <v>2500</v>
      </c>
      <c r="I158" s="238"/>
      <c r="J158" s="238"/>
      <c r="K158" s="238"/>
      <c r="L158" s="238"/>
      <c r="M158" s="238"/>
    </row>
    <row r="159" spans="1:13" ht="12.75">
      <c r="A159" s="102">
        <v>633</v>
      </c>
      <c r="B159" s="103" t="s">
        <v>123</v>
      </c>
      <c r="C159" s="87" t="s">
        <v>616</v>
      </c>
      <c r="D159" s="1063">
        <v>100</v>
      </c>
      <c r="E159" s="127">
        <v>500</v>
      </c>
      <c r="F159" s="128">
        <v>1000</v>
      </c>
      <c r="G159" s="129">
        <v>1000</v>
      </c>
      <c r="H159" s="130">
        <v>1000</v>
      </c>
      <c r="I159" s="238"/>
      <c r="J159" s="238"/>
      <c r="K159" s="238"/>
      <c r="L159" s="238"/>
      <c r="M159" s="238"/>
    </row>
    <row r="160" spans="1:13" ht="12.75">
      <c r="A160" s="1012">
        <v>633</v>
      </c>
      <c r="B160" s="1027" t="s">
        <v>140</v>
      </c>
      <c r="C160" s="1013" t="s">
        <v>398</v>
      </c>
      <c r="D160" s="1063">
        <v>0</v>
      </c>
      <c r="E160" s="127">
        <v>1100</v>
      </c>
      <c r="F160" s="128">
        <v>800</v>
      </c>
      <c r="G160" s="129">
        <v>1000</v>
      </c>
      <c r="H160" s="130">
        <v>1000</v>
      </c>
      <c r="I160" s="1051"/>
      <c r="K160" s="178"/>
      <c r="L160" s="1107"/>
      <c r="M160" s="1107"/>
    </row>
    <row r="161" spans="1:13" ht="12.75">
      <c r="A161" s="86">
        <v>633</v>
      </c>
      <c r="B161" s="103" t="s">
        <v>534</v>
      </c>
      <c r="C161" s="87" t="s">
        <v>617</v>
      </c>
      <c r="D161" s="1063">
        <v>300</v>
      </c>
      <c r="E161" s="127">
        <v>200</v>
      </c>
      <c r="F161" s="128">
        <v>500</v>
      </c>
      <c r="G161" s="129">
        <v>500</v>
      </c>
      <c r="H161" s="130">
        <v>500</v>
      </c>
      <c r="I161" s="1051"/>
      <c r="K161" s="178"/>
      <c r="L161" s="1107"/>
      <c r="M161" s="1107"/>
    </row>
    <row r="162" spans="1:13" ht="12.75">
      <c r="A162" s="289">
        <v>634</v>
      </c>
      <c r="B162" s="143"/>
      <c r="C162" s="178" t="s">
        <v>235</v>
      </c>
      <c r="D162" s="333">
        <f>SUM(D163,D164,D165)</f>
        <v>7800</v>
      </c>
      <c r="E162" s="282">
        <f>SUM(E163,E164,E165)</f>
        <v>7300</v>
      </c>
      <c r="F162" s="321">
        <f>SUM(F163,F164,F165)</f>
        <v>8000</v>
      </c>
      <c r="G162" s="351">
        <f>SUM(G163,G164,G165)</f>
        <v>8500</v>
      </c>
      <c r="H162" s="335">
        <f>SUM(H163,H164,H165)</f>
        <v>9000</v>
      </c>
      <c r="I162" s="238"/>
      <c r="K162" s="201"/>
      <c r="L162" s="201"/>
      <c r="M162" s="201"/>
    </row>
    <row r="163" spans="1:13" ht="12.75">
      <c r="A163" s="102">
        <v>634</v>
      </c>
      <c r="B163" s="103" t="s">
        <v>104</v>
      </c>
      <c r="C163" s="87" t="s">
        <v>603</v>
      </c>
      <c r="D163" s="1063">
        <v>5000</v>
      </c>
      <c r="E163" s="127">
        <v>4500</v>
      </c>
      <c r="F163" s="128">
        <v>5000</v>
      </c>
      <c r="G163" s="129">
        <v>5500</v>
      </c>
      <c r="H163" s="130">
        <v>6000</v>
      </c>
      <c r="I163" s="1051"/>
      <c r="K163" s="201"/>
      <c r="L163" s="1107"/>
      <c r="M163" s="1107"/>
    </row>
    <row r="164" spans="1:13" ht="12.75">
      <c r="A164" s="102">
        <v>634</v>
      </c>
      <c r="B164" s="103" t="s">
        <v>102</v>
      </c>
      <c r="C164" s="87" t="s">
        <v>605</v>
      </c>
      <c r="D164" s="1063">
        <v>300</v>
      </c>
      <c r="E164" s="127">
        <v>300</v>
      </c>
      <c r="F164" s="128">
        <v>500</v>
      </c>
      <c r="G164" s="129">
        <v>500</v>
      </c>
      <c r="H164" s="130">
        <v>500</v>
      </c>
      <c r="I164" s="1051"/>
      <c r="K164" s="178"/>
      <c r="L164" s="1107"/>
      <c r="M164" s="1107"/>
    </row>
    <row r="165" spans="1:13" ht="12.75">
      <c r="A165" s="102">
        <v>634</v>
      </c>
      <c r="B165" s="103" t="s">
        <v>107</v>
      </c>
      <c r="C165" s="87" t="s">
        <v>604</v>
      </c>
      <c r="D165" s="1063">
        <v>2500</v>
      </c>
      <c r="E165" s="127">
        <v>2500</v>
      </c>
      <c r="F165" s="128">
        <v>2500</v>
      </c>
      <c r="G165" s="129">
        <v>2500</v>
      </c>
      <c r="H165" s="130">
        <v>2500</v>
      </c>
      <c r="I165" s="1051"/>
      <c r="K165" s="201"/>
      <c r="L165" s="1107"/>
      <c r="M165" s="1107"/>
    </row>
    <row r="166" spans="1:13" ht="12.75">
      <c r="A166" s="225">
        <v>635</v>
      </c>
      <c r="B166" s="228"/>
      <c r="C166" s="166" t="s">
        <v>335</v>
      </c>
      <c r="D166" s="333">
        <v>3500</v>
      </c>
      <c r="E166" s="282">
        <v>3500</v>
      </c>
      <c r="F166" s="321">
        <v>3500</v>
      </c>
      <c r="G166" s="351">
        <v>3500</v>
      </c>
      <c r="H166" s="335">
        <v>3500</v>
      </c>
      <c r="I166" s="238"/>
      <c r="K166" s="201"/>
      <c r="L166" s="178"/>
      <c r="M166" s="178"/>
    </row>
    <row r="167" spans="1:13" ht="12.75">
      <c r="A167" s="86">
        <v>637</v>
      </c>
      <c r="B167" s="103"/>
      <c r="C167" s="87" t="s">
        <v>618</v>
      </c>
      <c r="D167" s="333">
        <v>270</v>
      </c>
      <c r="E167" s="282">
        <v>270</v>
      </c>
      <c r="F167" s="321">
        <v>270</v>
      </c>
      <c r="G167" s="351">
        <v>270</v>
      </c>
      <c r="H167" s="335">
        <v>270</v>
      </c>
      <c r="I167" s="238"/>
      <c r="K167" s="178"/>
      <c r="L167" s="178"/>
      <c r="M167" s="178"/>
    </row>
    <row r="168" spans="1:14" ht="12.75">
      <c r="A168" s="86">
        <v>642</v>
      </c>
      <c r="B168" s="103" t="s">
        <v>113</v>
      </c>
      <c r="C168" s="87" t="s">
        <v>619</v>
      </c>
      <c r="D168" s="333">
        <v>1119</v>
      </c>
      <c r="E168" s="282">
        <v>500</v>
      </c>
      <c r="F168" s="321">
        <v>0</v>
      </c>
      <c r="G168" s="351">
        <v>0</v>
      </c>
      <c r="H168" s="335">
        <v>0</v>
      </c>
      <c r="I168" s="238"/>
      <c r="K168" s="178"/>
      <c r="L168" s="178"/>
      <c r="M168" s="178"/>
      <c r="N168" s="1109"/>
    </row>
    <row r="169" spans="1:8" ht="12.75">
      <c r="A169" s="289">
        <v>642</v>
      </c>
      <c r="B169" s="143" t="s">
        <v>567</v>
      </c>
      <c r="C169" s="1129" t="s">
        <v>344</v>
      </c>
      <c r="D169" s="1130"/>
      <c r="E169" s="221">
        <v>100</v>
      </c>
      <c r="F169" s="222">
        <v>100</v>
      </c>
      <c r="G169" s="338">
        <v>100</v>
      </c>
      <c r="H169" s="1131">
        <v>100</v>
      </c>
    </row>
    <row r="170" spans="1:14" s="48" customFormat="1" ht="12.75" customHeight="1">
      <c r="A170" s="949" t="s">
        <v>620</v>
      </c>
      <c r="B170" s="1053"/>
      <c r="C170" s="1053"/>
      <c r="D170" s="1132">
        <f>D171+D173+D176</f>
        <v>14280</v>
      </c>
      <c r="E170" s="1133">
        <f>E171+E173+E176</f>
        <v>13850</v>
      </c>
      <c r="F170" s="1134">
        <f>F171+F173+F176</f>
        <v>14600</v>
      </c>
      <c r="G170" s="1135">
        <f>G171+G173+G176</f>
        <v>14600</v>
      </c>
      <c r="H170" s="1136">
        <f>H171+H173+H176</f>
        <v>14600</v>
      </c>
      <c r="I170" s="1106"/>
      <c r="J170" s="1055"/>
      <c r="K170" s="957"/>
      <c r="L170" s="957"/>
      <c r="M170" s="957"/>
      <c r="N170" s="1017"/>
    </row>
    <row r="171" spans="1:13" ht="12.75">
      <c r="A171" s="102">
        <v>610</v>
      </c>
      <c r="B171" s="103"/>
      <c r="C171" s="1061" t="s">
        <v>519</v>
      </c>
      <c r="D171" s="333">
        <v>7340</v>
      </c>
      <c r="E171" s="330">
        <v>7500</v>
      </c>
      <c r="F171" s="321">
        <v>7500</v>
      </c>
      <c r="G171" s="351">
        <v>7500</v>
      </c>
      <c r="H171" s="335">
        <v>7500</v>
      </c>
      <c r="I171" s="238"/>
      <c r="K171" s="201"/>
      <c r="L171" s="178"/>
      <c r="M171" s="178"/>
    </row>
    <row r="172" spans="1:14" s="51" customFormat="1" ht="12.75">
      <c r="A172" s="964">
        <v>610</v>
      </c>
      <c r="B172" s="1015"/>
      <c r="C172" s="974" t="s">
        <v>621</v>
      </c>
      <c r="D172" s="1062">
        <v>5000</v>
      </c>
      <c r="E172" s="1137">
        <v>3300</v>
      </c>
      <c r="F172" s="976">
        <v>5000</v>
      </c>
      <c r="G172" s="1039">
        <v>5000</v>
      </c>
      <c r="H172" s="1040">
        <v>5000</v>
      </c>
      <c r="I172" s="1041"/>
      <c r="K172" s="1118"/>
      <c r="L172" s="947"/>
      <c r="M172" s="1138"/>
      <c r="N172" s="47"/>
    </row>
    <row r="173" spans="1:13" ht="12.75" customHeight="1">
      <c r="A173" s="102">
        <v>620</v>
      </c>
      <c r="B173" s="103"/>
      <c r="C173" s="87" t="s">
        <v>227</v>
      </c>
      <c r="D173" s="333">
        <v>2640</v>
      </c>
      <c r="E173" s="330">
        <v>2850</v>
      </c>
      <c r="F173" s="321">
        <v>2850</v>
      </c>
      <c r="G173" s="351">
        <v>2850</v>
      </c>
      <c r="H173" s="335">
        <v>2850</v>
      </c>
      <c r="I173" s="238"/>
      <c r="K173" s="178"/>
      <c r="L173" s="178"/>
      <c r="M173" s="178"/>
    </row>
    <row r="174" spans="1:13" ht="12.75" customHeight="1">
      <c r="A174" s="964">
        <v>620</v>
      </c>
      <c r="B174" s="1015"/>
      <c r="C174" s="999" t="s">
        <v>622</v>
      </c>
      <c r="D174" s="1062">
        <v>1000</v>
      </c>
      <c r="E174" s="1137">
        <v>200</v>
      </c>
      <c r="F174" s="976">
        <v>1000</v>
      </c>
      <c r="G174" s="1039">
        <v>1000</v>
      </c>
      <c r="H174" s="1040">
        <v>1000</v>
      </c>
      <c r="I174" s="1041"/>
      <c r="K174" s="1118"/>
      <c r="L174" s="947"/>
      <c r="M174" s="1138"/>
    </row>
    <row r="175" spans="1:13" ht="12.75" customHeight="1">
      <c r="A175" s="964">
        <v>633</v>
      </c>
      <c r="B175" s="1015"/>
      <c r="C175" s="999" t="s">
        <v>623</v>
      </c>
      <c r="D175" s="1062">
        <v>4050</v>
      </c>
      <c r="E175" s="1137">
        <v>2000</v>
      </c>
      <c r="F175" s="976">
        <v>4000</v>
      </c>
      <c r="G175" s="1039">
        <v>4000</v>
      </c>
      <c r="H175" s="1040">
        <v>4000</v>
      </c>
      <c r="I175" s="1041"/>
      <c r="K175" s="1118"/>
      <c r="L175" s="947"/>
      <c r="M175" s="1139"/>
    </row>
    <row r="176" spans="1:13" ht="12.75">
      <c r="A176" s="102">
        <v>633</v>
      </c>
      <c r="B176" s="1015"/>
      <c r="C176" s="87" t="s">
        <v>283</v>
      </c>
      <c r="D176" s="194">
        <v>4300</v>
      </c>
      <c r="E176" s="280">
        <v>3500</v>
      </c>
      <c r="F176" s="124">
        <v>4250</v>
      </c>
      <c r="G176" s="125">
        <v>4250</v>
      </c>
      <c r="H176" s="126">
        <v>4250</v>
      </c>
      <c r="I176" s="238"/>
      <c r="K176" s="178"/>
      <c r="L176" s="178"/>
      <c r="M176" s="178"/>
    </row>
    <row r="177" spans="1:13" ht="12.75">
      <c r="A177" s="102">
        <v>634</v>
      </c>
      <c r="B177" s="103"/>
      <c r="C177" s="87" t="s">
        <v>235</v>
      </c>
      <c r="D177" s="333">
        <v>0</v>
      </c>
      <c r="E177" s="330">
        <v>0</v>
      </c>
      <c r="F177" s="321">
        <v>0</v>
      </c>
      <c r="G177" s="351">
        <v>0</v>
      </c>
      <c r="H177" s="335">
        <v>0</v>
      </c>
      <c r="I177" s="238"/>
      <c r="K177" s="178"/>
      <c r="L177" s="178"/>
      <c r="M177" s="178"/>
    </row>
    <row r="178" spans="1:13" ht="12.75">
      <c r="A178" s="131">
        <v>637</v>
      </c>
      <c r="B178" s="132"/>
      <c r="C178" s="195" t="s">
        <v>241</v>
      </c>
      <c r="D178" s="1140">
        <v>0</v>
      </c>
      <c r="E178" s="1141">
        <v>0</v>
      </c>
      <c r="F178" s="1142">
        <v>0</v>
      </c>
      <c r="G178" s="1143">
        <v>0</v>
      </c>
      <c r="H178" s="1144">
        <v>0</v>
      </c>
      <c r="I178" s="238"/>
      <c r="K178" s="178"/>
      <c r="L178" s="178"/>
      <c r="M178" s="178"/>
    </row>
    <row r="179" spans="1:9" ht="12.75">
      <c r="A179" s="1145"/>
      <c r="B179" s="378"/>
      <c r="C179" s="1091"/>
      <c r="D179" s="934"/>
      <c r="E179" s="1146"/>
      <c r="F179" s="1146"/>
      <c r="G179" s="1146"/>
      <c r="H179" s="1146"/>
      <c r="I179" s="239"/>
    </row>
    <row r="180" spans="1:13" s="378" customFormat="1" ht="11.25">
      <c r="A180" s="1111" t="s">
        <v>624</v>
      </c>
      <c r="B180" s="1147"/>
      <c r="C180" s="1148"/>
      <c r="D180" s="1149">
        <f>SUM(D181)</f>
        <v>0</v>
      </c>
      <c r="E180" s="1150">
        <f>SUM(E181,E182)</f>
        <v>0</v>
      </c>
      <c r="F180" s="1151">
        <f>SUM(F181,F182)</f>
        <v>1000</v>
      </c>
      <c r="G180" s="1152">
        <f>SUM(G181,G182)</f>
        <v>1000</v>
      </c>
      <c r="H180" s="1153">
        <f>SUM(H181,H182)</f>
        <v>1000</v>
      </c>
      <c r="I180" s="1106"/>
      <c r="J180" s="1090"/>
      <c r="K180" s="1055"/>
      <c r="L180" s="1055"/>
      <c r="M180" s="1055"/>
    </row>
    <row r="181" spans="1:13" ht="12.75">
      <c r="A181" s="102">
        <v>637</v>
      </c>
      <c r="B181" s="103"/>
      <c r="C181" s="88" t="s">
        <v>241</v>
      </c>
      <c r="D181" s="333">
        <v>0</v>
      </c>
      <c r="E181" s="282">
        <v>0</v>
      </c>
      <c r="F181" s="321">
        <v>0</v>
      </c>
      <c r="G181" s="351">
        <v>0</v>
      </c>
      <c r="H181" s="335">
        <v>0</v>
      </c>
      <c r="I181" s="201"/>
      <c r="K181" s="178"/>
      <c r="L181" s="178"/>
      <c r="M181" s="178"/>
    </row>
    <row r="182" spans="1:13" ht="12.75">
      <c r="A182" s="131">
        <v>637</v>
      </c>
      <c r="B182" s="132" t="s">
        <v>135</v>
      </c>
      <c r="C182" s="195" t="s">
        <v>363</v>
      </c>
      <c r="D182" s="384">
        <v>0</v>
      </c>
      <c r="E182" s="385">
        <v>0</v>
      </c>
      <c r="F182" s="386">
        <v>1000</v>
      </c>
      <c r="G182" s="1108">
        <v>1000</v>
      </c>
      <c r="H182" s="388">
        <v>1000</v>
      </c>
      <c r="I182" s="1051"/>
      <c r="K182" s="1107"/>
      <c r="L182" s="178"/>
      <c r="M182" s="178"/>
    </row>
    <row r="183" spans="1:8" ht="12.75">
      <c r="A183" s="1145"/>
      <c r="B183" s="378"/>
      <c r="C183" s="1091"/>
      <c r="D183" s="934"/>
      <c r="F183" s="338"/>
      <c r="G183" s="338"/>
      <c r="H183" s="338"/>
    </row>
    <row r="184" spans="1:13" s="378" customFormat="1" ht="11.25">
      <c r="A184" s="1111" t="s">
        <v>625</v>
      </c>
      <c r="B184" s="1147"/>
      <c r="C184" s="1148"/>
      <c r="D184" s="1149">
        <f>SUM(D185,D187)</f>
        <v>3000</v>
      </c>
      <c r="E184" s="1150">
        <f>SUM(E185,E187)</f>
        <v>30000</v>
      </c>
      <c r="F184" s="1151">
        <f>SUM(F185,F187)</f>
        <v>10000</v>
      </c>
      <c r="G184" s="1152">
        <f>SUM(G185,G187)</f>
        <v>10000</v>
      </c>
      <c r="H184" s="1153">
        <f>SUM(H185,H187)</f>
        <v>10000</v>
      </c>
      <c r="I184" s="1106"/>
      <c r="J184" s="1090"/>
      <c r="K184" s="957"/>
      <c r="L184" s="957"/>
      <c r="M184" s="957"/>
    </row>
    <row r="185" spans="1:13" ht="12.75">
      <c r="A185" s="102">
        <v>633</v>
      </c>
      <c r="B185" s="103"/>
      <c r="C185" s="88" t="s">
        <v>233</v>
      </c>
      <c r="D185" s="333">
        <v>0</v>
      </c>
      <c r="E185" s="282">
        <v>0</v>
      </c>
      <c r="F185" s="321">
        <v>0</v>
      </c>
      <c r="G185" s="351">
        <v>0</v>
      </c>
      <c r="H185" s="335">
        <v>0</v>
      </c>
      <c r="I185" s="201"/>
      <c r="J185" s="160"/>
      <c r="K185" s="178"/>
      <c r="L185" s="178"/>
      <c r="M185" s="178"/>
    </row>
    <row r="186" spans="1:14" s="85" customFormat="1" ht="12.75">
      <c r="A186" s="102">
        <v>633</v>
      </c>
      <c r="B186" s="103" t="s">
        <v>140</v>
      </c>
      <c r="C186" s="88" t="s">
        <v>398</v>
      </c>
      <c r="D186" s="333">
        <v>0</v>
      </c>
      <c r="E186" s="282">
        <v>0</v>
      </c>
      <c r="F186" s="321">
        <v>0</v>
      </c>
      <c r="G186" s="351">
        <v>0</v>
      </c>
      <c r="H186" s="335">
        <v>0</v>
      </c>
      <c r="I186" s="1051"/>
      <c r="J186" s="160"/>
      <c r="K186" s="1051"/>
      <c r="L186" s="178"/>
      <c r="M186" s="178"/>
      <c r="N186" s="47"/>
    </row>
    <row r="187" spans="1:14" s="85" customFormat="1" ht="12.75">
      <c r="A187" s="260">
        <v>635</v>
      </c>
      <c r="B187" s="132"/>
      <c r="C187" s="195" t="s">
        <v>335</v>
      </c>
      <c r="D187" s="384">
        <v>3000</v>
      </c>
      <c r="E187" s="385">
        <v>30000</v>
      </c>
      <c r="F187" s="386">
        <v>10000</v>
      </c>
      <c r="G187" s="1108">
        <v>10000</v>
      </c>
      <c r="H187" s="388">
        <v>10000</v>
      </c>
      <c r="I187" s="201"/>
      <c r="J187" s="51"/>
      <c r="K187" s="201"/>
      <c r="L187" s="178"/>
      <c r="M187" s="178"/>
      <c r="N187" s="47"/>
    </row>
    <row r="188" spans="1:14" s="85" customFormat="1" ht="12.75">
      <c r="A188" s="1154"/>
      <c r="B188" s="378"/>
      <c r="C188" s="1091"/>
      <c r="D188" s="934"/>
      <c r="E188" s="934"/>
      <c r="F188" s="1146"/>
      <c r="G188" s="1146"/>
      <c r="H188" s="1146"/>
      <c r="I188" s="202"/>
      <c r="J188" s="51"/>
      <c r="K188" s="51"/>
      <c r="L188" s="51"/>
      <c r="M188" s="51"/>
      <c r="N188" s="47"/>
    </row>
    <row r="189" spans="1:13" s="378" customFormat="1" ht="11.25">
      <c r="A189" s="1111" t="s">
        <v>626</v>
      </c>
      <c r="B189" s="1147"/>
      <c r="C189" s="1147"/>
      <c r="D189" s="1149">
        <f>SUM(D190)</f>
        <v>0</v>
      </c>
      <c r="E189" s="1150">
        <f>SUM(E190)</f>
        <v>0</v>
      </c>
      <c r="F189" s="1151">
        <f>SUM(F190)</f>
        <v>0</v>
      </c>
      <c r="G189" s="1152">
        <f>SUM(G190)</f>
        <v>0</v>
      </c>
      <c r="H189" s="1153">
        <f>SUM(H190)</f>
        <v>0</v>
      </c>
      <c r="I189" s="1106"/>
      <c r="J189" s="1090"/>
      <c r="K189" s="1055"/>
      <c r="L189" s="1055"/>
      <c r="M189" s="1055"/>
    </row>
    <row r="190" spans="1:13" ht="12.75">
      <c r="A190" s="102">
        <v>637</v>
      </c>
      <c r="B190" s="103"/>
      <c r="C190" s="87" t="s">
        <v>241</v>
      </c>
      <c r="D190" s="333">
        <v>0</v>
      </c>
      <c r="E190" s="282">
        <v>0</v>
      </c>
      <c r="F190" s="321">
        <v>0</v>
      </c>
      <c r="G190" s="351">
        <v>0</v>
      </c>
      <c r="H190" s="335">
        <v>0</v>
      </c>
      <c r="I190" s="201"/>
      <c r="K190" s="178"/>
      <c r="L190" s="178"/>
      <c r="M190" s="178"/>
    </row>
    <row r="191" spans="1:13" ht="12.75">
      <c r="A191" s="102">
        <v>637</v>
      </c>
      <c r="B191" s="103" t="s">
        <v>135</v>
      </c>
      <c r="C191" s="87" t="s">
        <v>363</v>
      </c>
      <c r="D191" s="333">
        <v>0</v>
      </c>
      <c r="E191" s="282">
        <v>0</v>
      </c>
      <c r="F191" s="321">
        <v>0</v>
      </c>
      <c r="G191" s="351">
        <v>0</v>
      </c>
      <c r="H191" s="335">
        <v>0</v>
      </c>
      <c r="I191" s="1051"/>
      <c r="K191" s="1107"/>
      <c r="L191" s="178"/>
      <c r="M191" s="178"/>
    </row>
    <row r="192" spans="1:14" ht="12.75">
      <c r="A192" s="1065" t="s">
        <v>627</v>
      </c>
      <c r="B192" s="1066"/>
      <c r="C192" s="1067" t="s">
        <v>628</v>
      </c>
      <c r="D192" s="323">
        <f>SUM(D154,D170,D180,D184,D189)</f>
        <v>105169</v>
      </c>
      <c r="E192" s="1155">
        <f>E154+E170+E180+E184+E189</f>
        <v>123120</v>
      </c>
      <c r="F192" s="1156">
        <f>F154+F170+F180+F184+F189</f>
        <v>123570</v>
      </c>
      <c r="G192" s="176">
        <f>G154+G170+G180+G184+G189</f>
        <v>124270</v>
      </c>
      <c r="H192" s="177">
        <f>H154+H170+H180+H184+H189</f>
        <v>124770</v>
      </c>
      <c r="I192" s="239"/>
      <c r="J192" s="1091"/>
      <c r="K192" s="957"/>
      <c r="L192" s="957"/>
      <c r="M192" s="957"/>
      <c r="N192" s="1109"/>
    </row>
    <row r="193" spans="1:9" ht="12.75">
      <c r="A193" s="1099"/>
      <c r="B193" s="178"/>
      <c r="C193" s="365"/>
      <c r="D193" s="365"/>
      <c r="E193" s="1100"/>
      <c r="F193" s="1100"/>
      <c r="G193" s="1100"/>
      <c r="H193" s="1101"/>
      <c r="I193" s="376"/>
    </row>
    <row r="194" spans="1:13" ht="12.75">
      <c r="A194" s="1099"/>
      <c r="B194" s="178"/>
      <c r="C194" s="365"/>
      <c r="D194" s="365"/>
      <c r="E194" s="1100"/>
      <c r="F194" s="1470" t="s">
        <v>629</v>
      </c>
      <c r="G194" s="1470"/>
      <c r="H194" s="1470"/>
      <c r="I194" s="349"/>
      <c r="J194" s="349"/>
      <c r="K194" s="349"/>
      <c r="L194" s="349"/>
      <c r="M194" s="349"/>
    </row>
    <row r="195" spans="1:9" ht="12.75">
      <c r="A195" s="1099"/>
      <c r="B195" s="178"/>
      <c r="C195" s="365"/>
      <c r="D195" s="365"/>
      <c r="E195" s="1100"/>
      <c r="F195" s="1100"/>
      <c r="G195" s="1100"/>
      <c r="H195" s="1101"/>
      <c r="I195" s="376"/>
    </row>
    <row r="196" spans="1:13" s="1083" customFormat="1" ht="12.75">
      <c r="A196" s="939" t="s">
        <v>478</v>
      </c>
      <c r="B196" s="940"/>
      <c r="C196" s="941"/>
      <c r="D196" s="66">
        <v>2012</v>
      </c>
      <c r="E196" s="1076">
        <v>2013</v>
      </c>
      <c r="F196" s="1077">
        <v>2014</v>
      </c>
      <c r="G196" s="1078">
        <v>2015</v>
      </c>
      <c r="H196" s="1079">
        <v>2016</v>
      </c>
      <c r="I196" s="1080"/>
      <c r="J196" s="1081"/>
      <c r="K196" s="1082"/>
      <c r="L196" s="945"/>
      <c r="M196" s="946"/>
    </row>
    <row r="197" spans="1:13" s="378" customFormat="1" ht="11.25">
      <c r="A197" s="949" t="s">
        <v>630</v>
      </c>
      <c r="B197" s="1157"/>
      <c r="C197" s="1157"/>
      <c r="D197" s="1059">
        <f>SUM(D198,D199,D202,D203,D204)</f>
        <v>72000</v>
      </c>
      <c r="E197" s="1054">
        <f>SUM(E198,E199,E202,E203,E204)</f>
        <v>60000</v>
      </c>
      <c r="F197" s="1103">
        <f>SUM(F198,F199,F202,F203,F204,F205)</f>
        <v>70000</v>
      </c>
      <c r="G197" s="1104">
        <f>SUM(G198,G199,G202,G203,G204)</f>
        <v>65000</v>
      </c>
      <c r="H197" s="1105">
        <f>SUM(H198,H199,H202,H203,H204)</f>
        <v>65000</v>
      </c>
      <c r="I197" s="1106"/>
      <c r="J197" s="1055"/>
      <c r="K197" s="957"/>
      <c r="L197" s="957"/>
      <c r="M197" s="957"/>
    </row>
    <row r="198" spans="1:14" s="51" customFormat="1" ht="12.75">
      <c r="A198" s="102">
        <v>633</v>
      </c>
      <c r="B198" s="103"/>
      <c r="C198" s="87" t="s">
        <v>233</v>
      </c>
      <c r="D198" s="333">
        <v>0</v>
      </c>
      <c r="E198" s="282">
        <v>0</v>
      </c>
      <c r="F198" s="321">
        <v>0</v>
      </c>
      <c r="G198" s="351">
        <v>0</v>
      </c>
      <c r="H198" s="335">
        <v>0</v>
      </c>
      <c r="I198" s="201"/>
      <c r="K198" s="178"/>
      <c r="L198" s="178"/>
      <c r="M198" s="178"/>
      <c r="N198" s="47"/>
    </row>
    <row r="199" spans="1:14" s="85" customFormat="1" ht="12.75">
      <c r="A199" s="102">
        <v>634</v>
      </c>
      <c r="B199" s="103"/>
      <c r="C199" s="87" t="s">
        <v>235</v>
      </c>
      <c r="D199" s="333">
        <f>SUM(D200,D201)</f>
        <v>0</v>
      </c>
      <c r="E199" s="282">
        <f>SUM(E200,E201)</f>
        <v>0</v>
      </c>
      <c r="F199" s="321">
        <f>SUM(F200,F201)</f>
        <v>0</v>
      </c>
      <c r="G199" s="351">
        <f>SUM(G200,G201)</f>
        <v>0</v>
      </c>
      <c r="H199" s="335">
        <f>SUM(H200,H201)</f>
        <v>0</v>
      </c>
      <c r="I199" s="201"/>
      <c r="J199" s="51"/>
      <c r="K199" s="178"/>
      <c r="L199" s="178"/>
      <c r="M199" s="178"/>
      <c r="N199" s="47"/>
    </row>
    <row r="200" spans="1:13" ht="12.75">
      <c r="A200" s="102">
        <v>634</v>
      </c>
      <c r="B200" s="103" t="s">
        <v>104</v>
      </c>
      <c r="C200" s="87" t="s">
        <v>631</v>
      </c>
      <c r="D200" s="333">
        <v>0</v>
      </c>
      <c r="E200" s="282">
        <v>0</v>
      </c>
      <c r="F200" s="321">
        <v>0</v>
      </c>
      <c r="G200" s="351">
        <v>0</v>
      </c>
      <c r="H200" s="335">
        <v>0</v>
      </c>
      <c r="I200" s="1051"/>
      <c r="K200" s="1107"/>
      <c r="L200" s="178"/>
      <c r="M200" s="178"/>
    </row>
    <row r="201" spans="1:13" ht="12.75">
      <c r="A201" s="102">
        <v>634</v>
      </c>
      <c r="B201" s="103" t="s">
        <v>107</v>
      </c>
      <c r="C201" s="87" t="s">
        <v>604</v>
      </c>
      <c r="D201" s="333">
        <v>0</v>
      </c>
      <c r="E201" s="282">
        <v>0</v>
      </c>
      <c r="F201" s="321">
        <v>0</v>
      </c>
      <c r="G201" s="351">
        <v>0</v>
      </c>
      <c r="H201" s="335">
        <v>0</v>
      </c>
      <c r="I201" s="1051"/>
      <c r="K201" s="1107"/>
      <c r="L201" s="178"/>
      <c r="M201" s="178"/>
    </row>
    <row r="202" spans="1:13" ht="12.75">
      <c r="A202" s="102">
        <v>635</v>
      </c>
      <c r="B202" s="103"/>
      <c r="C202" s="87" t="s">
        <v>335</v>
      </c>
      <c r="D202" s="333">
        <v>0</v>
      </c>
      <c r="E202" s="282">
        <v>0</v>
      </c>
      <c r="F202" s="321">
        <v>0</v>
      </c>
      <c r="G202" s="351">
        <v>0</v>
      </c>
      <c r="H202" s="335">
        <v>0</v>
      </c>
      <c r="I202" s="201"/>
      <c r="K202" s="1093"/>
      <c r="L202" s="178"/>
      <c r="M202" s="178"/>
    </row>
    <row r="203" spans="1:13" ht="12.75">
      <c r="A203" s="102">
        <v>636</v>
      </c>
      <c r="B203" s="103"/>
      <c r="C203" s="87" t="s">
        <v>632</v>
      </c>
      <c r="D203" s="333">
        <v>0</v>
      </c>
      <c r="E203" s="282">
        <v>0</v>
      </c>
      <c r="F203" s="321">
        <v>0</v>
      </c>
      <c r="G203" s="351">
        <v>0</v>
      </c>
      <c r="H203" s="335">
        <v>0</v>
      </c>
      <c r="I203" s="201"/>
      <c r="K203" s="178"/>
      <c r="L203" s="178"/>
      <c r="M203" s="178"/>
    </row>
    <row r="204" spans="1:13" ht="12.75">
      <c r="A204" s="165">
        <v>637</v>
      </c>
      <c r="B204" s="228"/>
      <c r="C204" s="1158" t="s">
        <v>241</v>
      </c>
      <c r="D204" s="333">
        <v>72000</v>
      </c>
      <c r="E204" s="282">
        <v>60000</v>
      </c>
      <c r="F204" s="321">
        <v>65000</v>
      </c>
      <c r="G204" s="351">
        <v>65000</v>
      </c>
      <c r="H204" s="335">
        <v>65000</v>
      </c>
      <c r="I204" s="238"/>
      <c r="K204" s="201"/>
      <c r="L204" s="178"/>
      <c r="M204" s="178"/>
    </row>
    <row r="205" spans="1:13" ht="12.75">
      <c r="A205" s="131">
        <v>637</v>
      </c>
      <c r="B205" s="132"/>
      <c r="C205" s="195" t="s">
        <v>352</v>
      </c>
      <c r="D205" s="384">
        <v>0</v>
      </c>
      <c r="E205" s="385">
        <v>0</v>
      </c>
      <c r="F205" s="386">
        <v>5000</v>
      </c>
      <c r="G205" s="1108">
        <v>0</v>
      </c>
      <c r="H205" s="388">
        <v>0</v>
      </c>
      <c r="I205" s="238"/>
      <c r="K205" s="201"/>
      <c r="L205" s="1037"/>
      <c r="M205" s="178"/>
    </row>
    <row r="206" spans="1:9" ht="12.75" hidden="1">
      <c r="A206" s="1110"/>
      <c r="B206" s="51"/>
      <c r="C206" s="51"/>
      <c r="D206" s="934"/>
      <c r="E206" s="268"/>
      <c r="F206" s="268"/>
      <c r="G206" s="268"/>
      <c r="H206" s="268"/>
      <c r="I206" s="1159"/>
    </row>
    <row r="207" spans="1:13" s="378" customFormat="1" ht="11.25">
      <c r="A207" s="1111" t="s">
        <v>633</v>
      </c>
      <c r="B207" s="1147"/>
      <c r="C207" s="1147"/>
      <c r="D207" s="1113">
        <f>SUM(D208,D209,D210,D211,D212,D215)</f>
        <v>25000</v>
      </c>
      <c r="E207" s="1114">
        <f>SUM(E208,E209,E210,E211,E212,E215,E217)</f>
        <v>24550</v>
      </c>
      <c r="F207" s="1115">
        <f>SUM(F208,F209,F210,F211,F212,F215)</f>
        <v>26300</v>
      </c>
      <c r="G207" s="1116">
        <f>SUM(G208,G209,G210,G211,G212,G215)</f>
        <v>26300</v>
      </c>
      <c r="H207" s="1117">
        <f>SUM(H208,H209,H210,H211,H212,H215)</f>
        <v>26300</v>
      </c>
      <c r="I207" s="1106"/>
      <c r="J207" s="1055"/>
      <c r="K207" s="957"/>
      <c r="L207" s="957"/>
      <c r="M207" s="957"/>
    </row>
    <row r="208" spans="1:14" s="51" customFormat="1" ht="12.75">
      <c r="A208" s="86">
        <v>610</v>
      </c>
      <c r="B208" s="87"/>
      <c r="C208" s="87" t="s">
        <v>519</v>
      </c>
      <c r="D208" s="333">
        <v>5000</v>
      </c>
      <c r="E208" s="282">
        <v>5000</v>
      </c>
      <c r="F208" s="321">
        <v>5500</v>
      </c>
      <c r="G208" s="351">
        <v>5500</v>
      </c>
      <c r="H208" s="335">
        <v>5500</v>
      </c>
      <c r="I208" s="238"/>
      <c r="J208" s="160"/>
      <c r="K208" s="201"/>
      <c r="L208" s="178"/>
      <c r="M208" s="178"/>
      <c r="N208" s="47"/>
    </row>
    <row r="209" spans="1:14" s="85" customFormat="1" ht="12.75">
      <c r="A209" s="86">
        <v>620</v>
      </c>
      <c r="B209" s="87"/>
      <c r="C209" s="87" t="s">
        <v>227</v>
      </c>
      <c r="D209" s="333">
        <v>1500</v>
      </c>
      <c r="E209" s="282">
        <v>1800</v>
      </c>
      <c r="F209" s="321">
        <v>1800</v>
      </c>
      <c r="G209" s="351">
        <v>1800</v>
      </c>
      <c r="H209" s="335">
        <v>1800</v>
      </c>
      <c r="I209" s="238"/>
      <c r="J209" s="160"/>
      <c r="K209" s="201"/>
      <c r="L209" s="178"/>
      <c r="M209" s="178"/>
      <c r="N209" s="47"/>
    </row>
    <row r="210" spans="1:14" s="85" customFormat="1" ht="12.75">
      <c r="A210" s="1160">
        <v>632</v>
      </c>
      <c r="B210" s="1161"/>
      <c r="C210" s="1162" t="s">
        <v>231</v>
      </c>
      <c r="D210" s="333">
        <v>5500</v>
      </c>
      <c r="E210" s="282">
        <v>5000</v>
      </c>
      <c r="F210" s="321">
        <v>6000</v>
      </c>
      <c r="G210" s="351">
        <v>6000</v>
      </c>
      <c r="H210" s="335">
        <v>6000</v>
      </c>
      <c r="I210" s="238"/>
      <c r="J210" s="160"/>
      <c r="K210" s="201"/>
      <c r="L210" s="178"/>
      <c r="M210" s="178"/>
      <c r="N210" s="47"/>
    </row>
    <row r="211" spans="1:14" s="85" customFormat="1" ht="12.75">
      <c r="A211" s="225">
        <v>633</v>
      </c>
      <c r="B211" s="1163"/>
      <c r="C211" s="166" t="s">
        <v>233</v>
      </c>
      <c r="D211" s="333">
        <v>0</v>
      </c>
      <c r="E211" s="282">
        <v>150</v>
      </c>
      <c r="F211" s="321">
        <v>0</v>
      </c>
      <c r="G211" s="351">
        <v>0</v>
      </c>
      <c r="H211" s="335">
        <v>0</v>
      </c>
      <c r="I211" s="238"/>
      <c r="J211" s="160"/>
      <c r="K211" s="178"/>
      <c r="L211" s="178"/>
      <c r="M211" s="178"/>
      <c r="N211" s="47"/>
    </row>
    <row r="212" spans="1:14" s="85" customFormat="1" ht="12.75">
      <c r="A212" s="86">
        <v>634</v>
      </c>
      <c r="B212" s="1164"/>
      <c r="C212" s="88" t="s">
        <v>634</v>
      </c>
      <c r="D212" s="333">
        <v>9500</v>
      </c>
      <c r="E212" s="282">
        <v>9000</v>
      </c>
      <c r="F212" s="321">
        <v>9500</v>
      </c>
      <c r="G212" s="351">
        <v>9500</v>
      </c>
      <c r="H212" s="335">
        <v>9500</v>
      </c>
      <c r="I212" s="238"/>
      <c r="J212" s="160"/>
      <c r="K212" s="201"/>
      <c r="L212" s="178"/>
      <c r="M212" s="178"/>
      <c r="N212" s="47"/>
    </row>
    <row r="213" spans="1:14" s="85" customFormat="1" ht="12.75">
      <c r="A213" s="86">
        <v>634</v>
      </c>
      <c r="B213" s="1164" t="s">
        <v>104</v>
      </c>
      <c r="C213" s="88" t="s">
        <v>603</v>
      </c>
      <c r="D213" s="333"/>
      <c r="E213" s="127">
        <v>5500</v>
      </c>
      <c r="F213" s="128">
        <v>6000</v>
      </c>
      <c r="G213" s="129">
        <v>6000</v>
      </c>
      <c r="H213" s="130">
        <v>6000</v>
      </c>
      <c r="I213" s="238"/>
      <c r="J213" s="160"/>
      <c r="K213" s="201"/>
      <c r="L213" s="178"/>
      <c r="M213" s="178"/>
      <c r="N213" s="47"/>
    </row>
    <row r="214" spans="1:14" s="85" customFormat="1" ht="12.75">
      <c r="A214" s="225">
        <v>634</v>
      </c>
      <c r="B214" s="1163" t="s">
        <v>107</v>
      </c>
      <c r="C214" s="167" t="s">
        <v>635</v>
      </c>
      <c r="D214" s="281"/>
      <c r="E214" s="115">
        <v>3500</v>
      </c>
      <c r="F214" s="116">
        <v>3500</v>
      </c>
      <c r="G214" s="117">
        <v>3500</v>
      </c>
      <c r="H214" s="118">
        <v>3500</v>
      </c>
      <c r="I214" s="238"/>
      <c r="J214" s="160"/>
      <c r="K214" s="201"/>
      <c r="L214" s="178"/>
      <c r="M214" s="178"/>
      <c r="N214" s="47"/>
    </row>
    <row r="215" spans="1:14" s="85" customFormat="1" ht="12.75">
      <c r="A215" s="86">
        <v>637</v>
      </c>
      <c r="B215" s="103"/>
      <c r="C215" s="87" t="s">
        <v>241</v>
      </c>
      <c r="D215" s="333">
        <v>3500</v>
      </c>
      <c r="E215" s="282">
        <v>3500</v>
      </c>
      <c r="F215" s="321">
        <v>3500</v>
      </c>
      <c r="G215" s="351">
        <v>3500</v>
      </c>
      <c r="H215" s="335">
        <v>3500</v>
      </c>
      <c r="I215" s="201"/>
      <c r="J215" s="51"/>
      <c r="K215" s="201"/>
      <c r="L215" s="178"/>
      <c r="M215" s="178"/>
      <c r="N215" s="47"/>
    </row>
    <row r="216" spans="1:14" s="85" customFormat="1" ht="12.75" hidden="1">
      <c r="A216" s="1165"/>
      <c r="B216" s="378"/>
      <c r="C216" s="1091"/>
      <c r="D216" s="934"/>
      <c r="E216" s="1166"/>
      <c r="F216" s="1167"/>
      <c r="G216" s="1146"/>
      <c r="H216" s="1168"/>
      <c r="I216" s="202"/>
      <c r="J216" s="51"/>
      <c r="K216" s="51"/>
      <c r="L216" s="51"/>
      <c r="M216" s="51"/>
      <c r="N216" s="47"/>
    </row>
    <row r="217" spans="1:14" s="85" customFormat="1" ht="12.75">
      <c r="A217" s="1169">
        <v>637</v>
      </c>
      <c r="B217" s="1170" t="s">
        <v>567</v>
      </c>
      <c r="C217" s="1171" t="s">
        <v>568</v>
      </c>
      <c r="D217" s="1172"/>
      <c r="E217" s="1173">
        <v>100</v>
      </c>
      <c r="F217" s="1174"/>
      <c r="G217" s="1173"/>
      <c r="H217" s="1175"/>
      <c r="I217" s="202"/>
      <c r="J217" s="51"/>
      <c r="K217" s="51"/>
      <c r="L217" s="51"/>
      <c r="M217" s="51"/>
      <c r="N217" s="47"/>
    </row>
    <row r="218" spans="1:13" s="378" customFormat="1" ht="11.25">
      <c r="A218" s="1176" t="s">
        <v>636</v>
      </c>
      <c r="B218" s="1177"/>
      <c r="C218" s="1177"/>
      <c r="D218" s="1178">
        <f>SUM(D219)</f>
        <v>0</v>
      </c>
      <c r="E218" s="1179">
        <f>SUM(E219)</f>
        <v>388</v>
      </c>
      <c r="F218" s="1180">
        <f>SUM(F219)</f>
        <v>0</v>
      </c>
      <c r="G218" s="1181">
        <f>SUM(G219)</f>
        <v>0</v>
      </c>
      <c r="H218" s="1182">
        <f>SUM(H219)</f>
        <v>0</v>
      </c>
      <c r="I218" s="1106"/>
      <c r="J218" s="1055"/>
      <c r="K218" s="1055"/>
      <c r="L218" s="1055"/>
      <c r="M218" s="1055"/>
    </row>
    <row r="219" spans="1:13" ht="12.75">
      <c r="A219" s="102">
        <v>633</v>
      </c>
      <c r="B219" s="103"/>
      <c r="C219" s="87" t="s">
        <v>362</v>
      </c>
      <c r="D219" s="333">
        <v>0</v>
      </c>
      <c r="E219" s="330">
        <v>388</v>
      </c>
      <c r="F219" s="321">
        <v>0</v>
      </c>
      <c r="G219" s="351">
        <v>0</v>
      </c>
      <c r="H219" s="335">
        <v>0</v>
      </c>
      <c r="I219" s="201"/>
      <c r="K219" s="178"/>
      <c r="L219" s="178"/>
      <c r="M219" s="178"/>
    </row>
    <row r="220" spans="1:13" ht="12.75">
      <c r="A220" s="102">
        <v>637</v>
      </c>
      <c r="B220" s="103" t="s">
        <v>135</v>
      </c>
      <c r="C220" s="87" t="s">
        <v>363</v>
      </c>
      <c r="D220" s="333">
        <v>66</v>
      </c>
      <c r="E220" s="330">
        <v>0</v>
      </c>
      <c r="F220" s="321">
        <v>0</v>
      </c>
      <c r="G220" s="351">
        <v>0</v>
      </c>
      <c r="H220" s="335">
        <v>0</v>
      </c>
      <c r="I220" s="1051"/>
      <c r="K220" s="1107"/>
      <c r="L220" s="1183"/>
      <c r="M220" s="178"/>
    </row>
    <row r="221" spans="1:13" ht="12.75">
      <c r="A221" s="1065" t="s">
        <v>637</v>
      </c>
      <c r="B221" s="1066"/>
      <c r="C221" s="1184" t="s">
        <v>360</v>
      </c>
      <c r="D221" s="1094">
        <f>SUM(D197,D207,D218)</f>
        <v>97000</v>
      </c>
      <c r="E221" s="1185">
        <f>E197+E207+E218</f>
        <v>84938</v>
      </c>
      <c r="F221" s="1156">
        <f>F197+F207+F218</f>
        <v>96300</v>
      </c>
      <c r="G221" s="176">
        <f>G197+G207+G218</f>
        <v>91300</v>
      </c>
      <c r="H221" s="177">
        <f>H197+H207+H218</f>
        <v>91300</v>
      </c>
      <c r="I221" s="239"/>
      <c r="J221" s="1186"/>
      <c r="K221" s="957"/>
      <c r="L221" s="957"/>
      <c r="M221" s="957"/>
    </row>
    <row r="222" spans="1:9" ht="12.75" hidden="1">
      <c r="A222" s="1099"/>
      <c r="B222" s="178"/>
      <c r="C222" s="365"/>
      <c r="D222" s="365"/>
      <c r="E222" s="1100"/>
      <c r="F222" s="1100"/>
      <c r="G222" s="1100"/>
      <c r="H222" s="1101"/>
      <c r="I222" s="376"/>
    </row>
    <row r="223" spans="1:9" ht="12.75" hidden="1">
      <c r="A223" s="1099"/>
      <c r="B223" s="178"/>
      <c r="C223" s="365"/>
      <c r="D223" s="365"/>
      <c r="E223" s="1100"/>
      <c r="F223" s="1100"/>
      <c r="G223" s="1100"/>
      <c r="H223" s="1101"/>
      <c r="I223" s="376"/>
    </row>
    <row r="224" spans="1:9" ht="12.75">
      <c r="A224" s="1099"/>
      <c r="B224" s="178"/>
      <c r="C224" s="365"/>
      <c r="D224" s="365"/>
      <c r="E224" s="1100"/>
      <c r="F224" s="1100"/>
      <c r="G224" s="1100"/>
      <c r="H224" s="1101"/>
      <c r="I224" s="376"/>
    </row>
    <row r="225" spans="1:13" ht="12.75">
      <c r="A225" s="1099"/>
      <c r="B225" s="178"/>
      <c r="C225" s="365"/>
      <c r="D225" s="365"/>
      <c r="E225" s="1100"/>
      <c r="F225" s="1470" t="s">
        <v>638</v>
      </c>
      <c r="G225" s="1470"/>
      <c r="H225" s="1470"/>
      <c r="I225" s="349"/>
      <c r="J225" s="349"/>
      <c r="K225" s="349"/>
      <c r="L225" s="349"/>
      <c r="M225" s="349"/>
    </row>
    <row r="226" spans="1:9" ht="12.75">
      <c r="A226" s="1099"/>
      <c r="B226" s="178"/>
      <c r="C226" s="365"/>
      <c r="D226" s="365"/>
      <c r="E226" s="1100"/>
      <c r="F226" s="1100"/>
      <c r="G226" s="1100"/>
      <c r="H226" s="1101"/>
      <c r="I226" s="376"/>
    </row>
    <row r="227" spans="1:13" s="1083" customFormat="1" ht="12.75">
      <c r="A227" s="939" t="s">
        <v>478</v>
      </c>
      <c r="B227" s="940"/>
      <c r="C227" s="1075"/>
      <c r="D227" s="66">
        <v>2012</v>
      </c>
      <c r="E227" s="1187">
        <v>2013</v>
      </c>
      <c r="F227" s="1077">
        <v>2014</v>
      </c>
      <c r="G227" s="1078">
        <v>2015</v>
      </c>
      <c r="H227" s="1079">
        <v>2016</v>
      </c>
      <c r="I227" s="1080"/>
      <c r="J227" s="1081"/>
      <c r="K227" s="1082"/>
      <c r="L227" s="945"/>
      <c r="M227" s="946"/>
    </row>
    <row r="228" spans="1:14" s="378" customFormat="1" ht="11.25">
      <c r="A228" s="949" t="s">
        <v>639</v>
      </c>
      <c r="B228" s="1157"/>
      <c r="C228" s="1157"/>
      <c r="D228" s="1059">
        <f>D229+D230+D231+D232</f>
        <v>20257.27</v>
      </c>
      <c r="E228" s="1188">
        <f>E229+E230+E231+E232</f>
        <v>3994</v>
      </c>
      <c r="F228" s="1103">
        <f>F229+F230+F231+F232</f>
        <v>2334</v>
      </c>
      <c r="G228" s="1104">
        <f>G229+G230+G231+G232</f>
        <v>1334</v>
      </c>
      <c r="H228" s="1105">
        <f>H229+H230+H231+H232</f>
        <v>1334</v>
      </c>
      <c r="I228" s="1106"/>
      <c r="J228" s="1055"/>
      <c r="K228" s="957"/>
      <c r="L228" s="957"/>
      <c r="M228" s="957"/>
      <c r="N228" s="1189"/>
    </row>
    <row r="229" spans="1:14" s="51" customFormat="1" ht="12.75">
      <c r="A229" s="102">
        <v>637</v>
      </c>
      <c r="B229" s="103" t="s">
        <v>567</v>
      </c>
      <c r="C229" s="1061" t="s">
        <v>640</v>
      </c>
      <c r="D229" s="333">
        <v>1790.49</v>
      </c>
      <c r="E229" s="330">
        <v>234</v>
      </c>
      <c r="F229" s="321">
        <v>234</v>
      </c>
      <c r="G229" s="351">
        <v>234</v>
      </c>
      <c r="H229" s="335">
        <v>234</v>
      </c>
      <c r="I229" s="201"/>
      <c r="K229" s="178"/>
      <c r="L229" s="178"/>
      <c r="M229" s="178"/>
      <c r="N229" s="47"/>
    </row>
    <row r="230" spans="1:14" s="85" customFormat="1" ht="12.75">
      <c r="A230" s="102">
        <v>632</v>
      </c>
      <c r="B230" s="103"/>
      <c r="C230" s="87" t="s">
        <v>231</v>
      </c>
      <c r="D230" s="333">
        <v>250</v>
      </c>
      <c r="E230" s="330">
        <v>100</v>
      </c>
      <c r="F230" s="321">
        <v>100</v>
      </c>
      <c r="G230" s="351">
        <v>100</v>
      </c>
      <c r="H230" s="335">
        <v>100</v>
      </c>
      <c r="I230" s="201"/>
      <c r="J230" s="51"/>
      <c r="K230" s="178"/>
      <c r="L230" s="178"/>
      <c r="M230" s="178"/>
      <c r="N230" s="47"/>
    </row>
    <row r="231" spans="1:13" ht="12.75">
      <c r="A231" s="102">
        <v>637</v>
      </c>
      <c r="B231" s="103"/>
      <c r="C231" s="87" t="s">
        <v>241</v>
      </c>
      <c r="D231" s="333">
        <v>10500</v>
      </c>
      <c r="E231" s="330">
        <v>2700</v>
      </c>
      <c r="F231" s="321">
        <v>2000</v>
      </c>
      <c r="G231" s="351">
        <v>1000</v>
      </c>
      <c r="H231" s="335">
        <v>1000</v>
      </c>
      <c r="I231" s="201"/>
      <c r="K231" s="201"/>
      <c r="L231" s="178"/>
      <c r="M231" s="1190"/>
    </row>
    <row r="232" spans="1:14" ht="12.75">
      <c r="A232" s="131">
        <v>637</v>
      </c>
      <c r="B232" s="132"/>
      <c r="C232" s="195" t="s">
        <v>562</v>
      </c>
      <c r="D232" s="384">
        <v>7716.78</v>
      </c>
      <c r="E232" s="387">
        <v>960</v>
      </c>
      <c r="F232" s="386">
        <v>0</v>
      </c>
      <c r="G232" s="1108">
        <v>0</v>
      </c>
      <c r="H232" s="388">
        <v>0</v>
      </c>
      <c r="I232" s="1191"/>
      <c r="J232" s="1192"/>
      <c r="K232" s="1191"/>
      <c r="L232" s="947"/>
      <c r="M232" s="178"/>
      <c r="N232" s="1109"/>
    </row>
    <row r="233" spans="1:9" ht="12.75">
      <c r="A233" s="1145"/>
      <c r="B233" s="378"/>
      <c r="C233" s="1091"/>
      <c r="D233" s="934"/>
      <c r="E233" s="1193"/>
      <c r="F233" s="1193"/>
      <c r="G233" s="1193"/>
      <c r="H233" s="1194"/>
      <c r="I233" s="202"/>
    </row>
    <row r="234" spans="1:13" s="378" customFormat="1" ht="11.25">
      <c r="A234" s="1111" t="s">
        <v>641</v>
      </c>
      <c r="B234" s="1147"/>
      <c r="C234" s="1147"/>
      <c r="D234" s="1113">
        <f>SUM(D235,D236,D237,D238)</f>
        <v>15650</v>
      </c>
      <c r="E234" s="1195">
        <f>SUM(E235,E236,E237,E238)</f>
        <v>15850</v>
      </c>
      <c r="F234" s="1115">
        <f>SUM(F235,F236,F237,F238)</f>
        <v>15650</v>
      </c>
      <c r="G234" s="1116">
        <f>SUM(G235,G236,G237,G238)</f>
        <v>15650</v>
      </c>
      <c r="H234" s="1117">
        <f>SUM(H235,H236,H237,H238)</f>
        <v>15650</v>
      </c>
      <c r="I234" s="1106"/>
      <c r="J234" s="1055"/>
      <c r="K234" s="957"/>
      <c r="L234" s="957"/>
      <c r="M234" s="957"/>
    </row>
    <row r="235" spans="1:14" s="51" customFormat="1" ht="12.75">
      <c r="A235" s="86">
        <v>632</v>
      </c>
      <c r="B235" s="103"/>
      <c r="C235" s="87" t="s">
        <v>231</v>
      </c>
      <c r="D235" s="333">
        <v>15000</v>
      </c>
      <c r="E235" s="330">
        <v>15000</v>
      </c>
      <c r="F235" s="321">
        <v>15000</v>
      </c>
      <c r="G235" s="351">
        <v>15000</v>
      </c>
      <c r="H235" s="335">
        <v>15000</v>
      </c>
      <c r="I235" s="238"/>
      <c r="K235" s="201"/>
      <c r="L235" s="178"/>
      <c r="M235" s="201"/>
      <c r="N235" s="47"/>
    </row>
    <row r="236" spans="1:14" s="85" customFormat="1" ht="12.75">
      <c r="A236" s="86">
        <v>633</v>
      </c>
      <c r="B236" s="103"/>
      <c r="C236" s="87" t="s">
        <v>233</v>
      </c>
      <c r="D236" s="333">
        <v>150</v>
      </c>
      <c r="E236" s="330">
        <v>150</v>
      </c>
      <c r="F236" s="321">
        <v>150</v>
      </c>
      <c r="G236" s="351">
        <v>150</v>
      </c>
      <c r="H236" s="335">
        <v>150</v>
      </c>
      <c r="I236" s="238"/>
      <c r="J236" s="51"/>
      <c r="K236" s="178"/>
      <c r="L236" s="178"/>
      <c r="M236" s="201"/>
      <c r="N236" s="47"/>
    </row>
    <row r="237" spans="1:13" ht="12.75">
      <c r="A237" s="86">
        <v>635</v>
      </c>
      <c r="B237" s="103"/>
      <c r="C237" s="87" t="s">
        <v>335</v>
      </c>
      <c r="D237" s="333">
        <v>500</v>
      </c>
      <c r="E237" s="330">
        <v>600</v>
      </c>
      <c r="F237" s="321">
        <v>500</v>
      </c>
      <c r="G237" s="351">
        <v>500</v>
      </c>
      <c r="H237" s="335">
        <v>500</v>
      </c>
      <c r="I237" s="238"/>
      <c r="K237" s="178"/>
      <c r="L237" s="178"/>
      <c r="M237" s="201"/>
    </row>
    <row r="238" spans="1:13" ht="12.75">
      <c r="A238" s="225">
        <v>637</v>
      </c>
      <c r="B238" s="228"/>
      <c r="C238" s="166" t="s">
        <v>241</v>
      </c>
      <c r="D238" s="333">
        <v>0</v>
      </c>
      <c r="E238" s="330">
        <v>100</v>
      </c>
      <c r="F238" s="321">
        <v>0</v>
      </c>
      <c r="G238" s="351">
        <v>0</v>
      </c>
      <c r="H238" s="335">
        <v>0</v>
      </c>
      <c r="I238" s="238"/>
      <c r="K238" s="201"/>
      <c r="L238" s="178"/>
      <c r="M238" s="201"/>
    </row>
    <row r="239" spans="1:13" ht="12.75">
      <c r="A239" s="1065" t="s">
        <v>642</v>
      </c>
      <c r="B239" s="1066"/>
      <c r="C239" s="1184" t="s">
        <v>505</v>
      </c>
      <c r="D239" s="1094">
        <f>SUM(D228,D234)</f>
        <v>35907.270000000004</v>
      </c>
      <c r="E239" s="1155">
        <f>E228+E234</f>
        <v>19844</v>
      </c>
      <c r="F239" s="1156">
        <f>F228+F234</f>
        <v>17984</v>
      </c>
      <c r="G239" s="176">
        <f>G228+G234</f>
        <v>16984</v>
      </c>
      <c r="H239" s="177">
        <f>H228+H234</f>
        <v>16984</v>
      </c>
      <c r="I239" s="239"/>
      <c r="J239" s="1055"/>
      <c r="K239" s="957"/>
      <c r="L239" s="957"/>
      <c r="M239" s="957"/>
    </row>
    <row r="240" spans="1:9" ht="12.75" hidden="1">
      <c r="A240" s="1099"/>
      <c r="B240" s="178"/>
      <c r="C240" s="365"/>
      <c r="D240" s="365"/>
      <c r="E240" s="1100"/>
      <c r="F240" s="1100"/>
      <c r="G240" s="1100"/>
      <c r="H240" s="1101"/>
      <c r="I240" s="376"/>
    </row>
    <row r="241" spans="1:8" ht="12.75">
      <c r="A241" s="1196"/>
      <c r="B241" s="1196"/>
      <c r="C241" s="1196"/>
      <c r="D241" s="1196"/>
      <c r="E241" s="1197"/>
      <c r="F241" s="1197"/>
      <c r="G241" s="1197"/>
      <c r="H241" s="1197"/>
    </row>
    <row r="242" spans="1:13" ht="12.75">
      <c r="A242" s="1196"/>
      <c r="B242" s="1196"/>
      <c r="C242" s="1196"/>
      <c r="D242" s="1196"/>
      <c r="E242" s="1197"/>
      <c r="F242" s="349"/>
      <c r="G242" s="1470" t="s">
        <v>643</v>
      </c>
      <c r="H242" s="1470"/>
      <c r="I242" s="349"/>
      <c r="J242" s="349"/>
      <c r="K242" s="349"/>
      <c r="L242" s="349"/>
      <c r="M242" s="349"/>
    </row>
    <row r="243" spans="1:8" ht="12.75">
      <c r="A243" s="1196"/>
      <c r="B243" s="1196"/>
      <c r="C243" s="1196"/>
      <c r="D243" s="1196"/>
      <c r="E243" s="1197"/>
      <c r="F243" s="1197"/>
      <c r="G243" s="1197"/>
      <c r="H243" s="1197"/>
    </row>
    <row r="244" spans="1:8" ht="12.75" hidden="1">
      <c r="A244" s="51"/>
      <c r="B244" s="51"/>
      <c r="C244" s="51"/>
      <c r="D244" s="51"/>
      <c r="E244" s="268"/>
      <c r="F244" s="1198"/>
      <c r="G244" s="1199"/>
      <c r="H244" s="1199"/>
    </row>
    <row r="245" spans="1:13" s="1083" customFormat="1" ht="12.75">
      <c r="A245" s="939" t="s">
        <v>478</v>
      </c>
      <c r="B245" s="940"/>
      <c r="C245" s="1075"/>
      <c r="D245" s="66">
        <v>2012</v>
      </c>
      <c r="E245" s="1187">
        <v>2013</v>
      </c>
      <c r="F245" s="1077">
        <v>2014</v>
      </c>
      <c r="G245" s="1078">
        <v>2015</v>
      </c>
      <c r="H245" s="1079">
        <v>2016</v>
      </c>
      <c r="I245" s="1080"/>
      <c r="J245" s="1081"/>
      <c r="K245" s="1082"/>
      <c r="L245" s="945"/>
      <c r="M245" s="946"/>
    </row>
    <row r="246" spans="1:14" s="1091" customFormat="1" ht="11.25">
      <c r="A246" s="949" t="s">
        <v>644</v>
      </c>
      <c r="B246" s="1157"/>
      <c r="C246" s="1157"/>
      <c r="D246" s="1059">
        <f>SUM(D247,D248,D249,D250,D251,D252)</f>
        <v>18500</v>
      </c>
      <c r="E246" s="1188">
        <f>SUM(E247,E248,E249,E250,E251,E252)</f>
        <v>28250</v>
      </c>
      <c r="F246" s="1103">
        <f>SUM(F247,F248,F249,F250,F251,F252)</f>
        <v>18500</v>
      </c>
      <c r="G246" s="1104">
        <f>SUM(G247,G248,G249,G250,G251,G252)</f>
        <v>15500</v>
      </c>
      <c r="H246" s="1105">
        <f>SUM(H247,H248,H249,H250,H251,H252)</f>
        <v>13500</v>
      </c>
      <c r="I246" s="1106"/>
      <c r="J246" s="1055"/>
      <c r="K246" s="957"/>
      <c r="L246" s="957"/>
      <c r="M246" s="957"/>
      <c r="N246" s="378"/>
    </row>
    <row r="247" spans="1:14" s="51" customFormat="1" ht="12.75">
      <c r="A247" s="86">
        <v>610</v>
      </c>
      <c r="B247" s="103"/>
      <c r="C247" s="87" t="s">
        <v>645</v>
      </c>
      <c r="D247" s="333">
        <v>3000</v>
      </c>
      <c r="E247" s="330">
        <v>3000</v>
      </c>
      <c r="F247" s="321">
        <v>3000</v>
      </c>
      <c r="G247" s="351">
        <v>3000</v>
      </c>
      <c r="H247" s="335">
        <v>3000</v>
      </c>
      <c r="I247" s="201"/>
      <c r="K247" s="201"/>
      <c r="L247" s="178"/>
      <c r="M247" s="178"/>
      <c r="N247" s="47"/>
    </row>
    <row r="248" spans="1:14" s="85" customFormat="1" ht="12.75">
      <c r="A248" s="86">
        <v>620</v>
      </c>
      <c r="B248" s="103"/>
      <c r="C248" s="87" t="s">
        <v>227</v>
      </c>
      <c r="D248" s="333">
        <v>1500</v>
      </c>
      <c r="E248" s="330">
        <v>1500</v>
      </c>
      <c r="F248" s="321">
        <v>1500</v>
      </c>
      <c r="G248" s="351">
        <v>1500</v>
      </c>
      <c r="H248" s="335">
        <v>1500</v>
      </c>
      <c r="I248" s="201"/>
      <c r="J248" s="51"/>
      <c r="K248" s="178"/>
      <c r="L248" s="178"/>
      <c r="M248" s="178"/>
      <c r="N248" s="47"/>
    </row>
    <row r="249" spans="1:13" ht="12.75">
      <c r="A249" s="86">
        <v>632</v>
      </c>
      <c r="B249" s="103"/>
      <c r="C249" s="87" t="s">
        <v>231</v>
      </c>
      <c r="D249" s="333">
        <v>13000</v>
      </c>
      <c r="E249" s="330">
        <v>22550</v>
      </c>
      <c r="F249" s="321">
        <v>13000</v>
      </c>
      <c r="G249" s="351">
        <v>10000</v>
      </c>
      <c r="H249" s="335">
        <v>8000</v>
      </c>
      <c r="I249" s="201"/>
      <c r="K249" s="201"/>
      <c r="L249" s="178"/>
      <c r="M249" s="201"/>
    </row>
    <row r="250" spans="1:13" ht="12.75">
      <c r="A250" s="86">
        <v>633</v>
      </c>
      <c r="B250" s="103"/>
      <c r="C250" s="87" t="s">
        <v>233</v>
      </c>
      <c r="D250" s="333">
        <v>100</v>
      </c>
      <c r="E250" s="330">
        <v>100</v>
      </c>
      <c r="F250" s="321">
        <v>100</v>
      </c>
      <c r="G250" s="351">
        <v>100</v>
      </c>
      <c r="H250" s="335">
        <v>100</v>
      </c>
      <c r="I250" s="201"/>
      <c r="K250" s="178"/>
      <c r="L250" s="178"/>
      <c r="M250" s="178"/>
    </row>
    <row r="251" spans="1:13" ht="12.75">
      <c r="A251" s="225">
        <v>635</v>
      </c>
      <c r="B251" s="228"/>
      <c r="C251" s="166" t="s">
        <v>335</v>
      </c>
      <c r="D251" s="333">
        <v>500</v>
      </c>
      <c r="E251" s="330">
        <v>500</v>
      </c>
      <c r="F251" s="321">
        <v>500</v>
      </c>
      <c r="G251" s="351">
        <v>500</v>
      </c>
      <c r="H251" s="335">
        <v>500</v>
      </c>
      <c r="I251" s="201"/>
      <c r="K251" s="178"/>
      <c r="L251" s="178"/>
      <c r="M251" s="178"/>
    </row>
    <row r="252" spans="1:13" ht="12.75">
      <c r="A252" s="86">
        <v>637</v>
      </c>
      <c r="B252" s="103"/>
      <c r="C252" s="87" t="s">
        <v>241</v>
      </c>
      <c r="D252" s="333">
        <v>400</v>
      </c>
      <c r="E252" s="330">
        <v>600</v>
      </c>
      <c r="F252" s="321">
        <v>400</v>
      </c>
      <c r="G252" s="351">
        <v>400</v>
      </c>
      <c r="H252" s="335">
        <v>400</v>
      </c>
      <c r="I252" s="201"/>
      <c r="K252" s="178"/>
      <c r="L252" s="178"/>
      <c r="M252" s="178"/>
    </row>
    <row r="253" spans="1:13" ht="12.75">
      <c r="A253" s="1065" t="s">
        <v>646</v>
      </c>
      <c r="B253" s="1066"/>
      <c r="C253" s="1184" t="s">
        <v>647</v>
      </c>
      <c r="D253" s="1094">
        <f>SUM(D246)</f>
        <v>18500</v>
      </c>
      <c r="E253" s="324">
        <f>SUM(E246)</f>
        <v>28250</v>
      </c>
      <c r="F253" s="325">
        <f>SUM(F246)</f>
        <v>18500</v>
      </c>
      <c r="G253" s="363">
        <f>SUM(G246)</f>
        <v>15500</v>
      </c>
      <c r="H253" s="327">
        <f>SUM(H246)</f>
        <v>13500</v>
      </c>
      <c r="I253" s="239"/>
      <c r="J253" s="1055"/>
      <c r="K253" s="957"/>
      <c r="L253" s="957"/>
      <c r="M253" s="957"/>
    </row>
    <row r="254" spans="1:9" ht="12.75">
      <c r="A254" s="1099"/>
      <c r="B254" s="178"/>
      <c r="C254" s="365"/>
      <c r="D254" s="365"/>
      <c r="E254" s="1100"/>
      <c r="F254" s="1100"/>
      <c r="G254" s="1100"/>
      <c r="H254" s="1101"/>
      <c r="I254" s="376"/>
    </row>
    <row r="255" spans="1:9" ht="12.75" hidden="1">
      <c r="A255" s="1099"/>
      <c r="B255" s="178"/>
      <c r="C255" s="365"/>
      <c r="D255" s="365"/>
      <c r="E255" s="1100"/>
      <c r="F255" s="1100"/>
      <c r="G255" s="1100"/>
      <c r="H255" s="1101"/>
      <c r="I255" s="376"/>
    </row>
    <row r="256" spans="1:9" ht="12.75" hidden="1">
      <c r="A256" s="1099"/>
      <c r="B256" s="178"/>
      <c r="C256" s="365"/>
      <c r="D256" s="365"/>
      <c r="E256" s="1100"/>
      <c r="F256" s="1100"/>
      <c r="G256" s="1100"/>
      <c r="H256" s="1101"/>
      <c r="I256" s="376"/>
    </row>
    <row r="257" spans="1:9" ht="12.75" hidden="1">
      <c r="A257" s="1099"/>
      <c r="B257" s="178"/>
      <c r="C257" s="365"/>
      <c r="D257" s="365"/>
      <c r="E257" s="1100"/>
      <c r="F257" s="1100"/>
      <c r="G257" s="1100"/>
      <c r="H257" s="1101"/>
      <c r="I257" s="376"/>
    </row>
    <row r="258" spans="1:9" ht="12.75">
      <c r="A258" s="1099"/>
      <c r="B258" s="178"/>
      <c r="C258" s="365"/>
      <c r="D258" s="365"/>
      <c r="E258" s="1100"/>
      <c r="F258" s="1100"/>
      <c r="G258" s="1100"/>
      <c r="H258" s="1101"/>
      <c r="I258" s="376"/>
    </row>
    <row r="259" spans="1:13" ht="12.75">
      <c r="A259" s="1099"/>
      <c r="B259" s="178"/>
      <c r="C259" s="365"/>
      <c r="D259" s="365"/>
      <c r="E259" s="1496" t="s">
        <v>648</v>
      </c>
      <c r="F259" s="1496"/>
      <c r="G259" s="1496"/>
      <c r="H259" s="1496"/>
      <c r="I259" s="1126"/>
      <c r="J259" s="1126"/>
      <c r="K259" s="1126"/>
      <c r="L259" s="1126"/>
      <c r="M259" s="1126"/>
    </row>
    <row r="260" spans="1:9" ht="12.75">
      <c r="A260" s="1099"/>
      <c r="B260" s="178"/>
      <c r="C260" s="365"/>
      <c r="D260" s="365"/>
      <c r="E260" s="1100"/>
      <c r="F260" s="1100"/>
      <c r="G260" s="1100"/>
      <c r="H260" s="1101"/>
      <c r="I260" s="376"/>
    </row>
    <row r="261" spans="1:13" s="1083" customFormat="1" ht="12.75">
      <c r="A261" s="939" t="s">
        <v>478</v>
      </c>
      <c r="B261" s="940"/>
      <c r="C261" s="1075"/>
      <c r="D261" s="66">
        <v>2012</v>
      </c>
      <c r="E261" s="1187">
        <v>2013</v>
      </c>
      <c r="F261" s="1077">
        <v>2014</v>
      </c>
      <c r="G261" s="1078">
        <v>2015</v>
      </c>
      <c r="H261" s="1079">
        <v>2016</v>
      </c>
      <c r="I261" s="1080"/>
      <c r="J261" s="1081"/>
      <c r="K261" s="1082"/>
      <c r="L261" s="945"/>
      <c r="M261" s="946"/>
    </row>
    <row r="262" spans="1:13" s="378" customFormat="1" ht="11.25">
      <c r="A262" s="949" t="s">
        <v>649</v>
      </c>
      <c r="B262" s="1157"/>
      <c r="C262" s="1157"/>
      <c r="D262" s="1059">
        <f>SUM(D263,D264,D265,D266,D267,D268)</f>
        <v>20000</v>
      </c>
      <c r="E262" s="1188">
        <f>SUM(E263,E264,E265,E266,E267,E268)</f>
        <v>23270</v>
      </c>
      <c r="F262" s="1103">
        <f>SUM(F263,F264,F265,F266,F267,F268)</f>
        <v>23300</v>
      </c>
      <c r="G262" s="1104">
        <f>SUM(G263,G264,G265,G266,G267,G268)</f>
        <v>23300</v>
      </c>
      <c r="H262" s="1105">
        <f>SUM(H263,H264,H265,H266,H267,H268)</f>
        <v>23300</v>
      </c>
      <c r="I262" s="1106"/>
      <c r="J262" s="1055"/>
      <c r="K262" s="957"/>
      <c r="L262" s="957"/>
      <c r="M262" s="957"/>
    </row>
    <row r="263" spans="1:14" s="51" customFormat="1" ht="12.75">
      <c r="A263" s="1200">
        <v>632</v>
      </c>
      <c r="B263" s="1201"/>
      <c r="C263" s="1202" t="s">
        <v>231</v>
      </c>
      <c r="D263" s="333">
        <v>8000</v>
      </c>
      <c r="E263" s="330">
        <v>10000</v>
      </c>
      <c r="F263" s="321">
        <v>10000</v>
      </c>
      <c r="G263" s="351">
        <v>10000</v>
      </c>
      <c r="H263" s="335">
        <v>10000</v>
      </c>
      <c r="I263" s="201"/>
      <c r="K263" s="201"/>
      <c r="L263" s="178"/>
      <c r="M263" s="201"/>
      <c r="N263" s="47"/>
    </row>
    <row r="264" spans="1:14" s="85" customFormat="1" ht="12.75">
      <c r="A264" s="1200">
        <v>633</v>
      </c>
      <c r="B264" s="1201"/>
      <c r="C264" s="1202" t="s">
        <v>233</v>
      </c>
      <c r="D264" s="333">
        <v>300</v>
      </c>
      <c r="E264" s="330">
        <v>650</v>
      </c>
      <c r="F264" s="321">
        <v>500</v>
      </c>
      <c r="G264" s="351">
        <v>500</v>
      </c>
      <c r="H264" s="335">
        <v>500</v>
      </c>
      <c r="I264" s="201"/>
      <c r="J264" s="51"/>
      <c r="K264" s="178"/>
      <c r="L264" s="178"/>
      <c r="M264" s="201"/>
      <c r="N264" s="47"/>
    </row>
    <row r="265" spans="1:13" ht="12.75">
      <c r="A265" s="1200">
        <v>634</v>
      </c>
      <c r="B265" s="1201"/>
      <c r="C265" s="1202" t="s">
        <v>389</v>
      </c>
      <c r="D265" s="333">
        <v>6100</v>
      </c>
      <c r="E265" s="330">
        <v>6100</v>
      </c>
      <c r="F265" s="321">
        <v>6100</v>
      </c>
      <c r="G265" s="351">
        <v>6100</v>
      </c>
      <c r="H265" s="335">
        <v>6100</v>
      </c>
      <c r="I265" s="201"/>
      <c r="K265" s="201"/>
      <c r="L265" s="178"/>
      <c r="M265" s="201"/>
    </row>
    <row r="266" spans="1:13" ht="12.75">
      <c r="A266" s="1200">
        <v>635</v>
      </c>
      <c r="B266" s="1201"/>
      <c r="C266" s="1202" t="s">
        <v>335</v>
      </c>
      <c r="D266" s="333">
        <v>500</v>
      </c>
      <c r="E266" s="330">
        <v>350</v>
      </c>
      <c r="F266" s="321">
        <v>500</v>
      </c>
      <c r="G266" s="351">
        <v>500</v>
      </c>
      <c r="H266" s="335">
        <v>500</v>
      </c>
      <c r="I266" s="201"/>
      <c r="K266" s="178"/>
      <c r="L266" s="178"/>
      <c r="M266" s="201"/>
    </row>
    <row r="267" spans="1:13" ht="12.75">
      <c r="A267" s="1200">
        <v>637</v>
      </c>
      <c r="B267" s="1201"/>
      <c r="C267" s="1202" t="s">
        <v>241</v>
      </c>
      <c r="D267" s="333">
        <v>0</v>
      </c>
      <c r="E267" s="330">
        <v>320</v>
      </c>
      <c r="F267" s="321">
        <v>300</v>
      </c>
      <c r="G267" s="351">
        <v>300</v>
      </c>
      <c r="H267" s="335">
        <v>300</v>
      </c>
      <c r="I267" s="201"/>
      <c r="K267" s="178"/>
      <c r="L267" s="178"/>
      <c r="M267" s="201"/>
    </row>
    <row r="268" spans="1:13" ht="12.75">
      <c r="A268" s="1200">
        <v>642</v>
      </c>
      <c r="B268" s="1201"/>
      <c r="C268" s="1202" t="s">
        <v>650</v>
      </c>
      <c r="D268" s="333">
        <v>5100</v>
      </c>
      <c r="E268" s="330">
        <f>E269+E270+E271</f>
        <v>5850</v>
      </c>
      <c r="F268" s="321">
        <f>F269+F270+F271</f>
        <v>5900</v>
      </c>
      <c r="G268" s="351">
        <f>G269+G270+G271</f>
        <v>5900</v>
      </c>
      <c r="H268" s="335">
        <f>H269+H270+H271</f>
        <v>5900</v>
      </c>
      <c r="I268" s="201"/>
      <c r="K268" s="201"/>
      <c r="L268" s="178"/>
      <c r="M268" s="201"/>
    </row>
    <row r="269" spans="1:13" ht="12.75">
      <c r="A269" s="1200"/>
      <c r="B269" s="1201"/>
      <c r="C269" s="87" t="s">
        <v>651</v>
      </c>
      <c r="D269" s="1063">
        <v>5100</v>
      </c>
      <c r="E269" s="1203">
        <v>5100</v>
      </c>
      <c r="F269" s="128">
        <v>5100</v>
      </c>
      <c r="G269" s="129">
        <v>5100</v>
      </c>
      <c r="H269" s="130">
        <v>5100</v>
      </c>
      <c r="I269" s="201"/>
      <c r="K269" s="201"/>
      <c r="L269" s="178"/>
      <c r="M269" s="201"/>
    </row>
    <row r="270" spans="1:13" ht="12.75">
      <c r="A270" s="1200"/>
      <c r="B270" s="1201"/>
      <c r="C270" s="87" t="s">
        <v>652</v>
      </c>
      <c r="D270" s="1063">
        <v>0</v>
      </c>
      <c r="E270" s="1203">
        <v>400</v>
      </c>
      <c r="F270" s="128">
        <v>400</v>
      </c>
      <c r="G270" s="129">
        <v>400</v>
      </c>
      <c r="H270" s="130">
        <v>400</v>
      </c>
      <c r="I270" s="201"/>
      <c r="K270" s="201"/>
      <c r="L270" s="178"/>
      <c r="M270" s="201"/>
    </row>
    <row r="271" spans="1:13" ht="12.75">
      <c r="A271" s="1204"/>
      <c r="B271" s="1205"/>
      <c r="C271" s="195" t="s">
        <v>653</v>
      </c>
      <c r="D271" s="1206">
        <v>0</v>
      </c>
      <c r="E271" s="1207">
        <v>350</v>
      </c>
      <c r="F271" s="1208">
        <v>400</v>
      </c>
      <c r="G271" s="1209">
        <v>400</v>
      </c>
      <c r="H271" s="1210">
        <v>400</v>
      </c>
      <c r="I271" s="201"/>
      <c r="K271" s="201"/>
      <c r="L271" s="178"/>
      <c r="M271" s="201"/>
    </row>
    <row r="272" spans="1:9" ht="12.75">
      <c r="A272" s="1154"/>
      <c r="B272" s="378"/>
      <c r="C272" s="1091"/>
      <c r="D272" s="934"/>
      <c r="G272" s="1193"/>
      <c r="H272" s="1194"/>
      <c r="I272" s="202"/>
    </row>
    <row r="273" spans="1:14" s="378" customFormat="1" ht="12.75" customHeight="1">
      <c r="A273" s="1111" t="s">
        <v>654</v>
      </c>
      <c r="B273" s="1147"/>
      <c r="C273" s="1147"/>
      <c r="D273" s="1211">
        <f>SUM(D274,D275,D276,D290)</f>
        <v>34700</v>
      </c>
      <c r="E273" s="1212">
        <f>SUM(E274,E275,E276,E290)</f>
        <v>41050</v>
      </c>
      <c r="F273" s="1213">
        <f>SUM(F274,F275,F276,F290)</f>
        <v>39800</v>
      </c>
      <c r="G273" s="1214">
        <f>SUM(G274,G275,G276,G290)</f>
        <v>39800</v>
      </c>
      <c r="H273" s="1215">
        <f>SUM(H274,H275,H276,H290)</f>
        <v>39800</v>
      </c>
      <c r="I273" s="1106"/>
      <c r="J273" s="193"/>
      <c r="K273" s="239"/>
      <c r="L273" s="239"/>
      <c r="M273" s="239"/>
      <c r="N273" s="958"/>
    </row>
    <row r="274" spans="1:13" ht="12.75" customHeight="1">
      <c r="A274" s="1216">
        <v>610</v>
      </c>
      <c r="B274" s="1217"/>
      <c r="C274" s="1218" t="s">
        <v>519</v>
      </c>
      <c r="D274" s="333">
        <v>14000</v>
      </c>
      <c r="E274" s="330">
        <v>14000</v>
      </c>
      <c r="F274" s="321">
        <v>14500</v>
      </c>
      <c r="G274" s="351">
        <v>14500</v>
      </c>
      <c r="H274" s="335">
        <v>14500</v>
      </c>
      <c r="I274" s="238"/>
      <c r="J274" s="239"/>
      <c r="K274" s="238"/>
      <c r="L274" s="238"/>
      <c r="M274" s="238"/>
    </row>
    <row r="275" spans="1:14" s="85" customFormat="1" ht="12.75">
      <c r="A275" s="1216">
        <v>620</v>
      </c>
      <c r="B275" s="1201"/>
      <c r="C275" s="1201" t="s">
        <v>227</v>
      </c>
      <c r="D275" s="333">
        <v>4400</v>
      </c>
      <c r="E275" s="330">
        <v>4400</v>
      </c>
      <c r="F275" s="321">
        <v>4500</v>
      </c>
      <c r="G275" s="351">
        <v>4500</v>
      </c>
      <c r="H275" s="335">
        <v>4500</v>
      </c>
      <c r="I275" s="238"/>
      <c r="J275" s="239"/>
      <c r="K275" s="238"/>
      <c r="L275" s="238"/>
      <c r="M275" s="238"/>
      <c r="N275" s="47"/>
    </row>
    <row r="276" spans="1:13" ht="12.75" customHeight="1">
      <c r="A276" s="1219">
        <v>630</v>
      </c>
      <c r="B276" s="1202"/>
      <c r="C276" s="1202" t="s">
        <v>404</v>
      </c>
      <c r="D276" s="333">
        <f>SUM(D277,D278,D279,D281,D282,D289,D283,D285,D286,D288)</f>
        <v>16300</v>
      </c>
      <c r="E276" s="330">
        <f>SUM(E277,E278,E279,E280,E281,E282,E289,E283,E285,E286,E287,E288)</f>
        <v>22650</v>
      </c>
      <c r="F276" s="321">
        <f>SUM(F277,F278,F279,F281,F282,F289,F283,F285,F286,F288,F280,F287)</f>
        <v>20800</v>
      </c>
      <c r="G276" s="351">
        <f>SUM(G277,G278,G279,G281,G282,G289,G283,G285,G286,G288,G280,G287)</f>
        <v>20800</v>
      </c>
      <c r="H276" s="335">
        <f>SUM(H277,H278,H279,H281,H282,H289,H283,H285,H286,H288,H280,H287)</f>
        <v>20800</v>
      </c>
      <c r="I276" s="238"/>
      <c r="J276" s="255"/>
      <c r="K276" s="201"/>
      <c r="L276" s="201"/>
      <c r="M276" s="201"/>
    </row>
    <row r="277" spans="1:13" ht="12.75">
      <c r="A277" s="86" t="s">
        <v>522</v>
      </c>
      <c r="B277" s="87"/>
      <c r="C277" s="87" t="s">
        <v>229</v>
      </c>
      <c r="D277" s="1063">
        <v>0</v>
      </c>
      <c r="E277" s="1203">
        <v>0</v>
      </c>
      <c r="F277" s="128">
        <v>0</v>
      </c>
      <c r="G277" s="129">
        <v>0</v>
      </c>
      <c r="H277" s="130">
        <v>0</v>
      </c>
      <c r="I277" s="1051"/>
      <c r="K277" s="1107"/>
      <c r="L277" s="1037"/>
      <c r="M277" s="1051"/>
    </row>
    <row r="278" spans="1:13" ht="12.75">
      <c r="A278" s="86">
        <v>632</v>
      </c>
      <c r="B278" s="87"/>
      <c r="C278" s="87" t="s">
        <v>523</v>
      </c>
      <c r="D278" s="1063">
        <v>7000</v>
      </c>
      <c r="E278" s="1203">
        <v>12500</v>
      </c>
      <c r="F278" s="128">
        <v>10000</v>
      </c>
      <c r="G278" s="129">
        <v>9500</v>
      </c>
      <c r="H278" s="130">
        <v>9000</v>
      </c>
      <c r="I278" s="1051"/>
      <c r="K278" s="1051"/>
      <c r="L278" s="1037"/>
      <c r="M278" s="1051"/>
    </row>
    <row r="279" spans="1:13" ht="12.75">
      <c r="A279" s="102">
        <v>633</v>
      </c>
      <c r="B279" s="103"/>
      <c r="C279" s="103" t="s">
        <v>233</v>
      </c>
      <c r="D279" s="1063">
        <v>800</v>
      </c>
      <c r="E279" s="1203">
        <v>700</v>
      </c>
      <c r="F279" s="128">
        <v>800</v>
      </c>
      <c r="G279" s="129">
        <v>800</v>
      </c>
      <c r="H279" s="130">
        <v>800</v>
      </c>
      <c r="I279" s="1051"/>
      <c r="K279" s="1051"/>
      <c r="L279" s="1037"/>
      <c r="M279" s="1051"/>
    </row>
    <row r="280" spans="1:13" ht="12.75">
      <c r="A280" s="102">
        <v>633</v>
      </c>
      <c r="B280" s="103" t="s">
        <v>123</v>
      </c>
      <c r="C280" s="103" t="s">
        <v>655</v>
      </c>
      <c r="D280" s="1063">
        <v>200</v>
      </c>
      <c r="E280" s="1203">
        <v>350</v>
      </c>
      <c r="F280" s="128">
        <v>200</v>
      </c>
      <c r="G280" s="129">
        <v>200</v>
      </c>
      <c r="H280" s="130">
        <v>200</v>
      </c>
      <c r="I280" s="1064"/>
      <c r="K280" s="1138"/>
      <c r="L280" s="947"/>
      <c r="M280" s="1064"/>
    </row>
    <row r="281" spans="1:13" ht="12.75">
      <c r="A281" s="102">
        <v>633</v>
      </c>
      <c r="B281" s="103" t="s">
        <v>539</v>
      </c>
      <c r="C281" s="103" t="s">
        <v>399</v>
      </c>
      <c r="D281" s="1063">
        <v>500</v>
      </c>
      <c r="E281" s="1203">
        <v>500</v>
      </c>
      <c r="F281" s="128">
        <v>500</v>
      </c>
      <c r="G281" s="129">
        <v>500</v>
      </c>
      <c r="H281" s="130">
        <v>500</v>
      </c>
      <c r="I281" s="1051"/>
      <c r="K281" s="1107"/>
      <c r="L281" s="1037"/>
      <c r="M281" s="1051"/>
    </row>
    <row r="282" spans="1:13" ht="12.75">
      <c r="A282" s="102">
        <v>642</v>
      </c>
      <c r="B282" s="1220"/>
      <c r="C282" s="1221" t="s">
        <v>656</v>
      </c>
      <c r="D282" s="1063">
        <v>4000</v>
      </c>
      <c r="E282" s="1203">
        <v>2000</v>
      </c>
      <c r="F282" s="128">
        <v>3000</v>
      </c>
      <c r="G282" s="129">
        <v>3500</v>
      </c>
      <c r="H282" s="130">
        <v>4000</v>
      </c>
      <c r="I282" s="1051"/>
      <c r="K282" s="1107"/>
      <c r="L282" s="1037"/>
      <c r="M282" s="1051"/>
    </row>
    <row r="283" spans="1:13" ht="12.75">
      <c r="A283" s="102">
        <v>634</v>
      </c>
      <c r="B283" s="103"/>
      <c r="C283" s="103" t="s">
        <v>235</v>
      </c>
      <c r="D283" s="1063">
        <v>700</v>
      </c>
      <c r="E283" s="1203">
        <v>700</v>
      </c>
      <c r="F283" s="128">
        <v>700</v>
      </c>
      <c r="G283" s="129">
        <v>700</v>
      </c>
      <c r="H283" s="130">
        <v>700</v>
      </c>
      <c r="I283" s="1051"/>
      <c r="K283" s="1107"/>
      <c r="L283" s="1037"/>
      <c r="M283" s="1051"/>
    </row>
    <row r="284" spans="1:13" ht="12.75">
      <c r="A284" s="102">
        <v>634</v>
      </c>
      <c r="B284" s="103" t="s">
        <v>123</v>
      </c>
      <c r="C284" s="103" t="s">
        <v>657</v>
      </c>
      <c r="D284" s="163">
        <v>500</v>
      </c>
      <c r="E284" s="1222">
        <v>500</v>
      </c>
      <c r="F284" s="1223">
        <v>500</v>
      </c>
      <c r="G284" s="1224">
        <v>500</v>
      </c>
      <c r="H284" s="1225">
        <v>500</v>
      </c>
      <c r="I284" s="1051"/>
      <c r="K284" s="1107"/>
      <c r="L284" s="1037"/>
      <c r="M284" s="1051"/>
    </row>
    <row r="285" spans="1:14" ht="12.75">
      <c r="A285" s="102">
        <v>635</v>
      </c>
      <c r="B285" s="103"/>
      <c r="C285" s="103" t="s">
        <v>335</v>
      </c>
      <c r="D285" s="1063">
        <v>400</v>
      </c>
      <c r="E285" s="1203">
        <v>2500</v>
      </c>
      <c r="F285" s="128">
        <v>2500</v>
      </c>
      <c r="G285" s="129">
        <v>2500</v>
      </c>
      <c r="H285" s="130">
        <v>2500</v>
      </c>
      <c r="I285" s="1051"/>
      <c r="K285" s="1107"/>
      <c r="L285" s="1037"/>
      <c r="M285" s="1051"/>
      <c r="N285" s="1016"/>
    </row>
    <row r="286" spans="1:13" ht="12.75">
      <c r="A286" s="964">
        <v>636</v>
      </c>
      <c r="B286" s="1015" t="s">
        <v>107</v>
      </c>
      <c r="C286" s="1015" t="s">
        <v>658</v>
      </c>
      <c r="D286" s="1063">
        <v>0</v>
      </c>
      <c r="E286" s="1203">
        <v>0</v>
      </c>
      <c r="F286" s="128">
        <v>0</v>
      </c>
      <c r="G286" s="129">
        <v>0</v>
      </c>
      <c r="H286" s="130">
        <v>0</v>
      </c>
      <c r="I286" s="1064"/>
      <c r="K286" s="1138"/>
      <c r="L286" s="947"/>
      <c r="M286" s="1051"/>
    </row>
    <row r="287" spans="1:13" ht="12.75">
      <c r="A287" s="1046">
        <v>637</v>
      </c>
      <c r="B287" s="1047"/>
      <c r="C287" s="1047" t="s">
        <v>241</v>
      </c>
      <c r="D287" s="1062">
        <v>200</v>
      </c>
      <c r="E287" s="1137">
        <v>500</v>
      </c>
      <c r="F287" s="976">
        <v>200</v>
      </c>
      <c r="G287" s="1039">
        <v>200</v>
      </c>
      <c r="H287" s="1040">
        <v>200</v>
      </c>
      <c r="I287" s="1064"/>
      <c r="K287" s="1138"/>
      <c r="L287" s="947"/>
      <c r="M287" s="1051"/>
    </row>
    <row r="288" spans="1:13" ht="12.75">
      <c r="A288" s="102">
        <v>637</v>
      </c>
      <c r="B288" s="103"/>
      <c r="C288" s="103" t="s">
        <v>241</v>
      </c>
      <c r="D288" s="1063">
        <v>900</v>
      </c>
      <c r="E288" s="1203">
        <v>900</v>
      </c>
      <c r="F288" s="128">
        <v>900</v>
      </c>
      <c r="G288" s="129">
        <v>900</v>
      </c>
      <c r="H288" s="130">
        <v>900</v>
      </c>
      <c r="I288" s="1051"/>
      <c r="K288" s="1107"/>
      <c r="L288" s="1037"/>
      <c r="M288" s="1051"/>
    </row>
    <row r="289" spans="1:13" ht="12.75">
      <c r="A289" s="102">
        <v>637</v>
      </c>
      <c r="B289" s="103" t="s">
        <v>123</v>
      </c>
      <c r="C289" s="103" t="s">
        <v>659</v>
      </c>
      <c r="D289" s="1063">
        <v>2000</v>
      </c>
      <c r="E289" s="1203">
        <v>2000</v>
      </c>
      <c r="F289" s="128">
        <v>2000</v>
      </c>
      <c r="G289" s="129">
        <v>2000</v>
      </c>
      <c r="H289" s="130">
        <v>2000</v>
      </c>
      <c r="I289" s="1051"/>
      <c r="K289" s="1107"/>
      <c r="L289" s="1037"/>
      <c r="M289" s="1051"/>
    </row>
    <row r="290" spans="1:14" ht="12.75">
      <c r="A290" s="1226">
        <v>642</v>
      </c>
      <c r="B290" s="1170" t="s">
        <v>113</v>
      </c>
      <c r="C290" s="1170" t="s">
        <v>660</v>
      </c>
      <c r="D290" s="384">
        <v>0</v>
      </c>
      <c r="E290" s="387">
        <v>0</v>
      </c>
      <c r="F290" s="386">
        <v>0</v>
      </c>
      <c r="G290" s="1108">
        <v>0</v>
      </c>
      <c r="H290" s="388">
        <v>0</v>
      </c>
      <c r="I290" s="238"/>
      <c r="K290" s="201"/>
      <c r="L290" s="178"/>
      <c r="M290" s="201"/>
      <c r="N290" s="1073"/>
    </row>
    <row r="291" spans="1:14" ht="12.75" hidden="1">
      <c r="A291" s="1227"/>
      <c r="B291" s="143"/>
      <c r="C291" s="143"/>
      <c r="D291" s="357"/>
      <c r="E291" s="334"/>
      <c r="F291" s="1228"/>
      <c r="G291" s="357"/>
      <c r="H291" s="336"/>
      <c r="I291" s="238"/>
      <c r="K291" s="201"/>
      <c r="L291" s="178"/>
      <c r="M291" s="201"/>
      <c r="N291" s="1073"/>
    </row>
    <row r="292" spans="1:13" s="378" customFormat="1" ht="11.25">
      <c r="A292" s="1111" t="s">
        <v>661</v>
      </c>
      <c r="B292" s="1147"/>
      <c r="C292" s="1148"/>
      <c r="D292" s="1113">
        <v>800</v>
      </c>
      <c r="E292" s="1114">
        <f>E293</f>
        <v>750</v>
      </c>
      <c r="F292" s="1115">
        <v>800</v>
      </c>
      <c r="G292" s="1116">
        <v>800</v>
      </c>
      <c r="H292" s="1117">
        <v>800</v>
      </c>
      <c r="I292" s="1106"/>
      <c r="J292" s="1090"/>
      <c r="K292" s="1055"/>
      <c r="L292" s="1055"/>
      <c r="M292" s="1055"/>
    </row>
    <row r="293" spans="1:13" ht="12.75">
      <c r="A293" s="1219">
        <v>630</v>
      </c>
      <c r="B293" s="1202"/>
      <c r="C293" s="1229" t="s">
        <v>404</v>
      </c>
      <c r="D293" s="401">
        <f>SUM(D294,D295,D296,D297,D298)</f>
        <v>800</v>
      </c>
      <c r="E293" s="337">
        <f>SUM(E294,E295,E296,E297,E298)</f>
        <v>750</v>
      </c>
      <c r="F293" s="402">
        <f>SUM(F294,F295,F296,F297,F298)</f>
        <v>800</v>
      </c>
      <c r="G293" s="353">
        <f>SUM(G294,G295,G296,G297,G298)</f>
        <v>800</v>
      </c>
      <c r="H293" s="354">
        <f>SUM(H294,H295,H296,H297,H298)</f>
        <v>800</v>
      </c>
      <c r="I293" s="201"/>
      <c r="K293" s="178"/>
      <c r="L293" s="178"/>
      <c r="M293" s="178"/>
    </row>
    <row r="294" spans="1:13" ht="12.75">
      <c r="A294" s="86" t="s">
        <v>522</v>
      </c>
      <c r="B294" s="87"/>
      <c r="C294" s="88" t="s">
        <v>229</v>
      </c>
      <c r="D294" s="1063">
        <v>0</v>
      </c>
      <c r="E294" s="127">
        <v>0</v>
      </c>
      <c r="F294" s="128">
        <v>0</v>
      </c>
      <c r="G294" s="129">
        <v>0</v>
      </c>
      <c r="H294" s="130">
        <v>0</v>
      </c>
      <c r="I294" s="1051"/>
      <c r="K294" s="1107"/>
      <c r="L294" s="1037"/>
      <c r="M294" s="1107"/>
    </row>
    <row r="295" spans="1:13" ht="12.75">
      <c r="A295" s="86">
        <v>632</v>
      </c>
      <c r="B295" s="87"/>
      <c r="C295" s="88" t="s">
        <v>523</v>
      </c>
      <c r="D295" s="1063">
        <v>300</v>
      </c>
      <c r="E295" s="127">
        <v>250</v>
      </c>
      <c r="F295" s="128">
        <v>300</v>
      </c>
      <c r="G295" s="129">
        <v>300</v>
      </c>
      <c r="H295" s="130">
        <v>300</v>
      </c>
      <c r="I295" s="1051"/>
      <c r="K295" s="1107"/>
      <c r="L295" s="1037"/>
      <c r="M295" s="1107"/>
    </row>
    <row r="296" spans="1:13" ht="12.75">
      <c r="A296" s="102">
        <v>633</v>
      </c>
      <c r="B296" s="103"/>
      <c r="C296" s="104" t="s">
        <v>662</v>
      </c>
      <c r="D296" s="1063">
        <v>500</v>
      </c>
      <c r="E296" s="127">
        <v>500</v>
      </c>
      <c r="F296" s="128">
        <v>500</v>
      </c>
      <c r="G296" s="129">
        <v>500</v>
      </c>
      <c r="H296" s="130">
        <v>500</v>
      </c>
      <c r="I296" s="1051"/>
      <c r="K296" s="1107"/>
      <c r="L296" s="1037"/>
      <c r="M296" s="1107"/>
    </row>
    <row r="297" spans="1:13" ht="12.75">
      <c r="A297" s="165">
        <v>635</v>
      </c>
      <c r="B297" s="228"/>
      <c r="C297" s="355" t="s">
        <v>335</v>
      </c>
      <c r="D297" s="1230">
        <v>0</v>
      </c>
      <c r="E297" s="115">
        <v>0</v>
      </c>
      <c r="F297" s="116">
        <v>0</v>
      </c>
      <c r="G297" s="117">
        <v>0</v>
      </c>
      <c r="H297" s="118">
        <v>0</v>
      </c>
      <c r="I297" s="1051"/>
      <c r="K297" s="1107"/>
      <c r="L297" s="1037"/>
      <c r="M297" s="1107"/>
    </row>
    <row r="298" spans="1:13" ht="12.75">
      <c r="A298" s="131">
        <v>637</v>
      </c>
      <c r="B298" s="132"/>
      <c r="C298" s="133" t="s">
        <v>241</v>
      </c>
      <c r="D298" s="1206">
        <v>0</v>
      </c>
      <c r="E298" s="1231">
        <v>0</v>
      </c>
      <c r="F298" s="1208">
        <v>0</v>
      </c>
      <c r="G298" s="1209">
        <v>0</v>
      </c>
      <c r="H298" s="1210">
        <v>0</v>
      </c>
      <c r="I298" s="1051"/>
      <c r="K298" s="1107"/>
      <c r="L298" s="1037"/>
      <c r="M298" s="1107"/>
    </row>
    <row r="299" spans="1:13" ht="12.75" hidden="1">
      <c r="A299" s="1227"/>
      <c r="B299" s="143"/>
      <c r="C299" s="143"/>
      <c r="D299" s="1232"/>
      <c r="E299" s="1232"/>
      <c r="F299" s="1232"/>
      <c r="G299" s="1232"/>
      <c r="H299" s="1232"/>
      <c r="I299" s="1051"/>
      <c r="K299" s="1107"/>
      <c r="L299" s="1037"/>
      <c r="M299" s="1107"/>
    </row>
    <row r="300" spans="1:13" ht="12.75">
      <c r="A300" s="143"/>
      <c r="B300" s="143"/>
      <c r="C300" s="143"/>
      <c r="D300" s="1232"/>
      <c r="E300" s="1232"/>
      <c r="F300" s="1232"/>
      <c r="G300" s="1232"/>
      <c r="H300" s="1232"/>
      <c r="I300" s="1051"/>
      <c r="K300" s="1107"/>
      <c r="L300" s="1037"/>
      <c r="M300" s="1107"/>
    </row>
    <row r="301" spans="1:13" ht="12.75">
      <c r="A301" s="143"/>
      <c r="B301" s="143"/>
      <c r="C301" s="143"/>
      <c r="D301" s="1232"/>
      <c r="E301" s="1232"/>
      <c r="F301" s="1232"/>
      <c r="G301" s="1232"/>
      <c r="H301" s="1232"/>
      <c r="I301" s="1051"/>
      <c r="K301" s="1107"/>
      <c r="L301" s="1037"/>
      <c r="M301" s="1107"/>
    </row>
    <row r="302" spans="1:13" ht="12.75">
      <c r="A302" s="939" t="s">
        <v>478</v>
      </c>
      <c r="B302" s="940"/>
      <c r="C302" s="1075"/>
      <c r="D302" s="66">
        <v>2012</v>
      </c>
      <c r="E302" s="1187">
        <v>2013</v>
      </c>
      <c r="F302" s="1077">
        <v>2014</v>
      </c>
      <c r="G302" s="1078">
        <v>2015</v>
      </c>
      <c r="H302" s="1079">
        <v>2016</v>
      </c>
      <c r="I302" s="1080"/>
      <c r="K302" s="1107"/>
      <c r="L302" s="1037"/>
      <c r="M302" s="1107"/>
    </row>
    <row r="303" spans="1:13" s="378" customFormat="1" ht="11.25">
      <c r="A303" s="949" t="s">
        <v>663</v>
      </c>
      <c r="B303" s="1157"/>
      <c r="C303" s="1157"/>
      <c r="D303" s="1178">
        <f>SUM(D304)</f>
        <v>600</v>
      </c>
      <c r="E303" s="1179">
        <f>SUM(E304)</f>
        <v>1200</v>
      </c>
      <c r="F303" s="1180">
        <f>SUM(F304)</f>
        <v>1200</v>
      </c>
      <c r="G303" s="1181">
        <f>SUM(G304)</f>
        <v>1200</v>
      </c>
      <c r="H303" s="1182">
        <f>SUM(H304)</f>
        <v>1200</v>
      </c>
      <c r="I303" s="1106"/>
      <c r="J303" s="1055"/>
      <c r="K303" s="1055"/>
      <c r="L303" s="1055"/>
      <c r="M303" s="1055"/>
    </row>
    <row r="304" spans="1:13" ht="12.75">
      <c r="A304" s="1216">
        <v>637</v>
      </c>
      <c r="B304" s="1201"/>
      <c r="C304" s="1202" t="s">
        <v>241</v>
      </c>
      <c r="D304" s="333">
        <v>600</v>
      </c>
      <c r="E304" s="330">
        <v>1200</v>
      </c>
      <c r="F304" s="321">
        <v>1200</v>
      </c>
      <c r="G304" s="351">
        <v>1200</v>
      </c>
      <c r="H304" s="335">
        <v>1200</v>
      </c>
      <c r="I304" s="201"/>
      <c r="K304" s="178"/>
      <c r="L304" s="178"/>
      <c r="M304" s="178"/>
    </row>
    <row r="305" spans="1:13" ht="12.75">
      <c r="A305" s="131">
        <v>637</v>
      </c>
      <c r="B305" s="132" t="s">
        <v>135</v>
      </c>
      <c r="C305" s="195" t="s">
        <v>664</v>
      </c>
      <c r="D305" s="1206">
        <v>600</v>
      </c>
      <c r="E305" s="1207">
        <v>1200</v>
      </c>
      <c r="F305" s="1208">
        <v>1200</v>
      </c>
      <c r="G305" s="1209">
        <v>1200</v>
      </c>
      <c r="H305" s="1210">
        <v>1200</v>
      </c>
      <c r="I305" s="1051"/>
      <c r="K305" s="1107"/>
      <c r="L305" s="1037"/>
      <c r="M305" s="1107"/>
    </row>
    <row r="306" spans="1:13" s="378" customFormat="1" ht="11.25">
      <c r="A306" s="1111" t="s">
        <v>665</v>
      </c>
      <c r="B306" s="1147"/>
      <c r="C306" s="1147"/>
      <c r="D306" s="1113">
        <f>SUM(D307,D308)</f>
        <v>2500</v>
      </c>
      <c r="E306" s="1195">
        <f>SUM(E307,E308)</f>
        <v>2000</v>
      </c>
      <c r="F306" s="1115">
        <f>SUM(F307,F308)+F309</f>
        <v>4750</v>
      </c>
      <c r="G306" s="1116">
        <f>SUM(G307,G308)</f>
        <v>2500</v>
      </c>
      <c r="H306" s="1117">
        <f>SUM(H307,H308)</f>
        <v>2500</v>
      </c>
      <c r="I306" s="1106"/>
      <c r="J306" s="1055"/>
      <c r="K306" s="957"/>
      <c r="L306" s="957"/>
      <c r="M306" s="957"/>
    </row>
    <row r="307" spans="1:14" s="51" customFormat="1" ht="12.75">
      <c r="A307" s="1219">
        <v>630</v>
      </c>
      <c r="B307" s="1202"/>
      <c r="C307" s="1202" t="s">
        <v>666</v>
      </c>
      <c r="D307" s="333">
        <v>1000</v>
      </c>
      <c r="E307" s="330">
        <v>1000</v>
      </c>
      <c r="F307" s="321">
        <v>1000</v>
      </c>
      <c r="G307" s="351">
        <v>1000</v>
      </c>
      <c r="H307" s="335">
        <v>1000</v>
      </c>
      <c r="I307" s="238"/>
      <c r="J307" s="160"/>
      <c r="K307" s="201"/>
      <c r="L307" s="178"/>
      <c r="M307" s="178"/>
      <c r="N307" s="47"/>
    </row>
    <row r="308" spans="1:14" s="85" customFormat="1" ht="12.75">
      <c r="A308" s="1216">
        <v>642</v>
      </c>
      <c r="B308" s="1201"/>
      <c r="C308" s="1202" t="s">
        <v>420</v>
      </c>
      <c r="D308" s="333">
        <v>1500</v>
      </c>
      <c r="E308" s="330">
        <v>1000</v>
      </c>
      <c r="F308" s="321">
        <v>1500</v>
      </c>
      <c r="G308" s="351">
        <v>1500</v>
      </c>
      <c r="H308" s="335">
        <v>1500</v>
      </c>
      <c r="I308" s="201"/>
      <c r="J308" s="51"/>
      <c r="K308" s="178"/>
      <c r="L308" s="178"/>
      <c r="M308" s="178"/>
      <c r="N308" s="47"/>
    </row>
    <row r="309" spans="1:14" s="85" customFormat="1" ht="12.75">
      <c r="A309" s="102">
        <v>642</v>
      </c>
      <c r="B309" s="103" t="s">
        <v>107</v>
      </c>
      <c r="C309" s="87" t="s">
        <v>738</v>
      </c>
      <c r="D309" s="1233">
        <v>0</v>
      </c>
      <c r="E309" s="330">
        <v>0</v>
      </c>
      <c r="F309" s="321">
        <v>2250</v>
      </c>
      <c r="G309" s="351">
        <v>0</v>
      </c>
      <c r="H309" s="335">
        <v>0</v>
      </c>
      <c r="I309" s="1051"/>
      <c r="J309" s="51"/>
      <c r="K309" s="1107"/>
      <c r="L309" s="178"/>
      <c r="M309" s="178"/>
      <c r="N309" s="47"/>
    </row>
    <row r="310" spans="1:14" ht="12.75">
      <c r="A310" s="1065" t="s">
        <v>667</v>
      </c>
      <c r="B310" s="1066"/>
      <c r="C310" s="1184" t="s">
        <v>668</v>
      </c>
      <c r="D310" s="323">
        <f>SUM(D262,D273,D292,D303,D306)</f>
        <v>58600</v>
      </c>
      <c r="E310" s="326">
        <f>SUM(E262,E273,E292,E303,E306)</f>
        <v>68270</v>
      </c>
      <c r="F310" s="325">
        <f>SUM(F262,F273,F292,F303,F306)</f>
        <v>69850</v>
      </c>
      <c r="G310" s="363">
        <f>SUM(G262,G273,G292,G303,G306)</f>
        <v>67600</v>
      </c>
      <c r="H310" s="327">
        <f>SUM(H262,H273,H292,H303,H306)</f>
        <v>67600</v>
      </c>
      <c r="I310" s="239"/>
      <c r="J310" s="1055"/>
      <c r="K310" s="957"/>
      <c r="L310" s="957"/>
      <c r="M310" s="957"/>
      <c r="N310" s="1109"/>
    </row>
    <row r="311" spans="1:8" ht="12.75" hidden="1">
      <c r="A311" s="1099"/>
      <c r="B311" s="178"/>
      <c r="C311" s="365"/>
      <c r="D311" s="365"/>
      <c r="E311" s="1100"/>
      <c r="F311" s="1100"/>
      <c r="G311" s="1100"/>
      <c r="H311" s="1101"/>
    </row>
    <row r="312" spans="1:8" ht="12.75">
      <c r="A312" s="1099"/>
      <c r="B312" s="178"/>
      <c r="C312" s="365"/>
      <c r="D312" s="365"/>
      <c r="E312" s="1100"/>
      <c r="F312" s="1100"/>
      <c r="G312" s="1100"/>
      <c r="H312" s="1101"/>
    </row>
    <row r="313" spans="1:8" ht="12.75" hidden="1">
      <c r="A313" s="1099"/>
      <c r="B313" s="178"/>
      <c r="C313" s="365"/>
      <c r="D313" s="365"/>
      <c r="E313" s="1100"/>
      <c r="F313" s="1100"/>
      <c r="G313" s="1100"/>
      <c r="H313" s="1101"/>
    </row>
    <row r="314" spans="1:13" ht="12.75">
      <c r="A314" s="1099"/>
      <c r="B314" s="178"/>
      <c r="C314" s="365"/>
      <c r="D314" s="365"/>
      <c r="E314" s="1100"/>
      <c r="F314" s="1470" t="s">
        <v>669</v>
      </c>
      <c r="G314" s="1470"/>
      <c r="H314" s="1470"/>
      <c r="I314" s="349"/>
      <c r="J314" s="349"/>
      <c r="K314" s="349"/>
      <c r="L314" s="349"/>
      <c r="M314" s="349"/>
    </row>
    <row r="315" spans="1:13" s="1083" customFormat="1" ht="12.75">
      <c r="A315" s="939" t="s">
        <v>478</v>
      </c>
      <c r="B315" s="940"/>
      <c r="C315" s="1075"/>
      <c r="D315" s="66">
        <v>2012</v>
      </c>
      <c r="E315" s="1187">
        <v>2013</v>
      </c>
      <c r="F315" s="1077">
        <v>2014</v>
      </c>
      <c r="G315" s="1078">
        <v>2015</v>
      </c>
      <c r="H315" s="1079">
        <v>2016</v>
      </c>
      <c r="I315" s="1080"/>
      <c r="J315" s="1081"/>
      <c r="K315" s="1082"/>
      <c r="L315" s="945"/>
      <c r="M315" s="946"/>
    </row>
    <row r="316" spans="1:13" s="378" customFormat="1" ht="11.25">
      <c r="A316" s="949" t="s">
        <v>670</v>
      </c>
      <c r="B316" s="1157"/>
      <c r="C316" s="1157"/>
      <c r="D316" s="1059">
        <f>SUM(D317,D319,D323)+D320+D321</f>
        <v>108970</v>
      </c>
      <c r="E316" s="1188">
        <f>SUM(E317,E318,E319,E323)+E320+E321+E322</f>
        <v>130981.88</v>
      </c>
      <c r="F316" s="1103">
        <f>SUM(F317,F319,F323)+F320+F321+F322</f>
        <v>121900</v>
      </c>
      <c r="G316" s="1104">
        <f>SUM(G317,G319,G323)+G320+G321+G322</f>
        <v>121400</v>
      </c>
      <c r="H316" s="1105">
        <f>SUM(H317,H319,H323)+H320+H321+H322</f>
        <v>124400</v>
      </c>
      <c r="I316" s="1106"/>
      <c r="J316" s="1055"/>
      <c r="K316" s="957"/>
      <c r="L316" s="957"/>
      <c r="M316" s="957"/>
    </row>
    <row r="317" spans="1:13" ht="12.75">
      <c r="A317" s="1234" t="s">
        <v>671</v>
      </c>
      <c r="B317" s="1235" t="s">
        <v>672</v>
      </c>
      <c r="C317" s="1218" t="s">
        <v>519</v>
      </c>
      <c r="D317" s="333">
        <v>60000</v>
      </c>
      <c r="E317" s="330">
        <v>72603</v>
      </c>
      <c r="F317" s="321">
        <v>67400</v>
      </c>
      <c r="G317" s="351">
        <v>68000</v>
      </c>
      <c r="H317" s="335">
        <v>70000</v>
      </c>
      <c r="I317" s="238"/>
      <c r="J317" s="160"/>
      <c r="K317" s="201"/>
      <c r="L317" s="178"/>
      <c r="M317" s="201"/>
    </row>
    <row r="318" spans="1:13" ht="12.75">
      <c r="A318" s="1234"/>
      <c r="B318" s="1235"/>
      <c r="C318" s="1426" t="s">
        <v>740</v>
      </c>
      <c r="D318" s="333"/>
      <c r="E318" s="1255">
        <v>4628.28</v>
      </c>
      <c r="F318" s="321"/>
      <c r="G318" s="351"/>
      <c r="H318" s="335"/>
      <c r="I318" s="238"/>
      <c r="J318" s="160"/>
      <c r="K318" s="201"/>
      <c r="L318" s="178"/>
      <c r="M318" s="201"/>
    </row>
    <row r="319" spans="1:14" s="85" customFormat="1" ht="12.75">
      <c r="A319" s="1236"/>
      <c r="B319" s="1235" t="s">
        <v>673</v>
      </c>
      <c r="C319" s="1202" t="s">
        <v>404</v>
      </c>
      <c r="D319" s="333">
        <v>36370</v>
      </c>
      <c r="E319" s="330">
        <v>35330</v>
      </c>
      <c r="F319" s="321">
        <v>35000</v>
      </c>
      <c r="G319" s="351">
        <v>36000</v>
      </c>
      <c r="H319" s="335">
        <v>37000</v>
      </c>
      <c r="I319" s="238"/>
      <c r="J319" s="160"/>
      <c r="K319" s="201"/>
      <c r="L319" s="178"/>
      <c r="M319" s="201"/>
      <c r="N319" s="164"/>
    </row>
    <row r="320" spans="1:14" s="85" customFormat="1" ht="12.75">
      <c r="A320" s="1236"/>
      <c r="B320" s="1235"/>
      <c r="C320" s="1237" t="s">
        <v>429</v>
      </c>
      <c r="D320" s="1238">
        <v>400</v>
      </c>
      <c r="E320" s="1239">
        <v>182.6</v>
      </c>
      <c r="F320" s="1240">
        <v>200</v>
      </c>
      <c r="G320" s="1241">
        <v>400</v>
      </c>
      <c r="H320" s="1242">
        <v>400</v>
      </c>
      <c r="I320" s="1191"/>
      <c r="J320" s="1192"/>
      <c r="K320" s="1191"/>
      <c r="L320" s="947"/>
      <c r="M320" s="1191"/>
      <c r="N320" s="47"/>
    </row>
    <row r="321" spans="1:14" s="85" customFormat="1" ht="12.75">
      <c r="A321" s="1236"/>
      <c r="B321" s="1235"/>
      <c r="C321" s="1237" t="s">
        <v>674</v>
      </c>
      <c r="D321" s="1243">
        <v>200</v>
      </c>
      <c r="E321" s="1244">
        <v>5038</v>
      </c>
      <c r="F321" s="1245">
        <v>5000</v>
      </c>
      <c r="G321" s="1246">
        <v>5000</v>
      </c>
      <c r="H321" s="1247">
        <v>5000</v>
      </c>
      <c r="I321" s="1191"/>
      <c r="J321" s="1192"/>
      <c r="K321" s="1191"/>
      <c r="L321" s="947"/>
      <c r="M321" s="1191"/>
      <c r="N321" s="47"/>
    </row>
    <row r="322" spans="1:14" s="85" customFormat="1" ht="12.75">
      <c r="A322" s="1236"/>
      <c r="B322" s="1235"/>
      <c r="C322" s="1202" t="s">
        <v>675</v>
      </c>
      <c r="D322" s="194">
        <v>4370</v>
      </c>
      <c r="E322" s="280">
        <v>1800</v>
      </c>
      <c r="F322" s="124">
        <v>2300</v>
      </c>
      <c r="G322" s="125">
        <v>0</v>
      </c>
      <c r="H322" s="126">
        <v>0</v>
      </c>
      <c r="I322" s="238"/>
      <c r="J322" s="160"/>
      <c r="K322" s="201"/>
      <c r="L322" s="178"/>
      <c r="M322" s="201"/>
      <c r="N322" s="47"/>
    </row>
    <row r="323" spans="1:14" s="85" customFormat="1" ht="12.75">
      <c r="A323" s="1236" t="s">
        <v>676</v>
      </c>
      <c r="B323" s="1235">
        <v>633</v>
      </c>
      <c r="C323" s="1202" t="s">
        <v>677</v>
      </c>
      <c r="D323" s="333">
        <v>12000</v>
      </c>
      <c r="E323" s="330">
        <v>11400</v>
      </c>
      <c r="F323" s="321">
        <v>12000</v>
      </c>
      <c r="G323" s="351">
        <v>12000</v>
      </c>
      <c r="H323" s="335">
        <v>12000</v>
      </c>
      <c r="I323" s="238"/>
      <c r="J323" s="160"/>
      <c r="K323" s="201"/>
      <c r="L323" s="178"/>
      <c r="M323" s="201"/>
      <c r="N323" s="47"/>
    </row>
    <row r="324" spans="1:14" s="85" customFormat="1" ht="12.75">
      <c r="A324" s="1248"/>
      <c r="B324" s="1249"/>
      <c r="C324" s="1250" t="s">
        <v>678</v>
      </c>
      <c r="D324" s="1206">
        <v>1000</v>
      </c>
      <c r="E324" s="1207">
        <v>1400</v>
      </c>
      <c r="F324" s="1208">
        <v>1500</v>
      </c>
      <c r="G324" s="1209">
        <v>1500</v>
      </c>
      <c r="H324" s="1210">
        <v>1500</v>
      </c>
      <c r="I324" s="238"/>
      <c r="J324" s="51"/>
      <c r="K324" s="201"/>
      <c r="L324" s="178"/>
      <c r="M324" s="201"/>
      <c r="N324" s="47"/>
    </row>
    <row r="325" spans="1:14" s="85" customFormat="1" ht="12.75" hidden="1">
      <c r="A325" s="1251"/>
      <c r="B325" s="1093"/>
      <c r="C325" s="1252"/>
      <c r="D325" s="934"/>
      <c r="E325" s="934"/>
      <c r="F325" s="96"/>
      <c r="G325" s="96"/>
      <c r="H325" s="97"/>
      <c r="I325" s="239"/>
      <c r="J325" s="51"/>
      <c r="K325" s="51"/>
      <c r="L325" s="51"/>
      <c r="M325" s="51"/>
      <c r="N325" s="47"/>
    </row>
    <row r="326" spans="1:13" s="378" customFormat="1" ht="11.25">
      <c r="A326" s="1111" t="s">
        <v>679</v>
      </c>
      <c r="B326" s="1147"/>
      <c r="C326" s="1147"/>
      <c r="D326" s="1149">
        <f>SUM(D327,D329,D330,D331,D338,D332,D339,D334,D335,D336,D340)</f>
        <v>498119.15</v>
      </c>
      <c r="E326" s="1253">
        <f>SUM(E327,E328,E329,E331,E338,E332,E339,E334,E335,E336,E330,E340)</f>
        <v>572835.8099999999</v>
      </c>
      <c r="F326" s="1151">
        <f>SUM(F327,F329,F331,F338,F332,F339,F334,F335,F336,F337,F330,F340)</f>
        <v>567700</v>
      </c>
      <c r="G326" s="1152">
        <f>SUM(G327,G329,G331,G338,G332,G339,G334,G335,G336,G330,G340)</f>
        <v>524300</v>
      </c>
      <c r="H326" s="1153">
        <f>SUM(H327,H329,H331,H338,H332,H339,H334,H335,H336,H330,H340)</f>
        <v>554300</v>
      </c>
      <c r="I326" s="1106"/>
      <c r="J326" s="1091"/>
      <c r="K326" s="957"/>
      <c r="L326" s="957"/>
      <c r="M326" s="957"/>
    </row>
    <row r="327" spans="1:13" ht="12.75">
      <c r="A327" s="86" t="s">
        <v>672</v>
      </c>
      <c r="B327" s="1235"/>
      <c r="C327" s="1218" t="s">
        <v>519</v>
      </c>
      <c r="D327" s="333">
        <v>355559</v>
      </c>
      <c r="E327" s="330">
        <v>399654</v>
      </c>
      <c r="F327" s="321">
        <v>400000</v>
      </c>
      <c r="G327" s="351">
        <v>420000</v>
      </c>
      <c r="H327" s="335">
        <v>450000</v>
      </c>
      <c r="I327" s="238"/>
      <c r="J327" s="160"/>
      <c r="K327" s="201"/>
      <c r="L327" s="178"/>
      <c r="M327" s="178"/>
    </row>
    <row r="328" spans="1:13" ht="12.75">
      <c r="A328" s="86"/>
      <c r="B328" s="1235"/>
      <c r="C328" s="1426" t="s">
        <v>740</v>
      </c>
      <c r="D328" s="333"/>
      <c r="E328" s="1255">
        <v>1400.64</v>
      </c>
      <c r="F328" s="321"/>
      <c r="G328" s="351"/>
      <c r="H328" s="335"/>
      <c r="I328" s="238"/>
      <c r="J328" s="160"/>
      <c r="K328" s="201"/>
      <c r="L328" s="178"/>
      <c r="M328" s="178"/>
    </row>
    <row r="329" spans="1:13" ht="12.75">
      <c r="A329" s="86" t="s">
        <v>673</v>
      </c>
      <c r="B329" s="1235"/>
      <c r="C329" s="1202" t="s">
        <v>404</v>
      </c>
      <c r="D329" s="333">
        <v>48000</v>
      </c>
      <c r="E329" s="330">
        <v>42500</v>
      </c>
      <c r="F329" s="321">
        <v>45000</v>
      </c>
      <c r="G329" s="351">
        <v>40000</v>
      </c>
      <c r="H329" s="335">
        <v>40000</v>
      </c>
      <c r="I329" s="238"/>
      <c r="J329" s="238"/>
      <c r="K329" s="201"/>
      <c r="L329" s="178"/>
      <c r="M329" s="178"/>
    </row>
    <row r="330" spans="1:14" ht="12.75">
      <c r="A330" s="86"/>
      <c r="B330" s="1235"/>
      <c r="C330" s="1202" t="s">
        <v>680</v>
      </c>
      <c r="D330" s="194">
        <v>17200</v>
      </c>
      <c r="E330" s="280">
        <v>11000</v>
      </c>
      <c r="F330" s="124">
        <v>0</v>
      </c>
      <c r="G330" s="125">
        <v>0</v>
      </c>
      <c r="H330" s="126">
        <v>0</v>
      </c>
      <c r="I330" s="238"/>
      <c r="J330" s="238"/>
      <c r="K330" s="201"/>
      <c r="L330" s="178"/>
      <c r="M330" s="178"/>
      <c r="N330" s="164"/>
    </row>
    <row r="331" spans="1:14" s="85" customFormat="1" ht="12.75">
      <c r="A331" s="86" t="s">
        <v>681</v>
      </c>
      <c r="B331" s="87"/>
      <c r="C331" s="87" t="s">
        <v>435</v>
      </c>
      <c r="D331" s="333">
        <v>24000</v>
      </c>
      <c r="E331" s="330">
        <v>34508</v>
      </c>
      <c r="F331" s="321">
        <v>38000</v>
      </c>
      <c r="G331" s="351">
        <v>40000</v>
      </c>
      <c r="H331" s="335">
        <v>40000</v>
      </c>
      <c r="I331" s="238"/>
      <c r="J331" s="51"/>
      <c r="K331" s="201"/>
      <c r="L331" s="1037"/>
      <c r="M331" s="178"/>
      <c r="N331" s="164"/>
    </row>
    <row r="332" spans="1:14" s="1259" customFormat="1" ht="12.75">
      <c r="A332" s="998"/>
      <c r="B332" s="999"/>
      <c r="C332" s="999" t="s">
        <v>682</v>
      </c>
      <c r="D332" s="1254">
        <v>21573.52</v>
      </c>
      <c r="E332" s="1255">
        <v>0</v>
      </c>
      <c r="F332" s="1256">
        <v>0</v>
      </c>
      <c r="G332" s="1257">
        <v>0</v>
      </c>
      <c r="H332" s="1258">
        <v>0</v>
      </c>
      <c r="I332" s="1041"/>
      <c r="J332" s="1003"/>
      <c r="K332" s="1019"/>
      <c r="L332" s="947"/>
      <c r="M332" s="1018"/>
      <c r="N332" s="1016"/>
    </row>
    <row r="333" spans="1:14" s="1259" customFormat="1" ht="12.75">
      <c r="A333" s="998"/>
      <c r="B333" s="999"/>
      <c r="C333" s="999" t="s">
        <v>683</v>
      </c>
      <c r="D333" s="1254">
        <f>D334+D335+D336+D338+D339</f>
        <v>27796.260000000002</v>
      </c>
      <c r="E333" s="1255">
        <f>E334+E335+E336+E338+E339+E340</f>
        <v>83773.17000000001</v>
      </c>
      <c r="F333" s="1256">
        <f>F334+F335+F336+F338+F339+F340+F337</f>
        <v>84700</v>
      </c>
      <c r="G333" s="1257">
        <f>G334+G335+G336+G338+G339+G340</f>
        <v>24300</v>
      </c>
      <c r="H333" s="1258">
        <f>H334+H335+H336+H338+H339</f>
        <v>24300</v>
      </c>
      <c r="I333" s="1041"/>
      <c r="J333" s="1003"/>
      <c r="K333" s="1019"/>
      <c r="L333" s="947"/>
      <c r="M333" s="1018"/>
      <c r="N333" s="1016"/>
    </row>
    <row r="334" spans="1:14" s="85" customFormat="1" ht="12.75">
      <c r="A334" s="1260"/>
      <c r="B334" s="1221"/>
      <c r="C334" s="1237" t="s">
        <v>684</v>
      </c>
      <c r="D334" s="1261">
        <v>3394</v>
      </c>
      <c r="E334" s="1262">
        <v>3000</v>
      </c>
      <c r="F334" s="1263">
        <v>3500</v>
      </c>
      <c r="G334" s="1264">
        <v>3500</v>
      </c>
      <c r="H334" s="1265">
        <v>3500</v>
      </c>
      <c r="I334" s="1191"/>
      <c r="J334" s="1192"/>
      <c r="K334" s="1191"/>
      <c r="L334" s="947"/>
      <c r="M334" s="1266"/>
      <c r="N334" s="47"/>
    </row>
    <row r="335" spans="1:14" s="85" customFormat="1" ht="12.75">
      <c r="A335" s="1260"/>
      <c r="B335" s="1221"/>
      <c r="C335" s="1237" t="s">
        <v>685</v>
      </c>
      <c r="D335" s="1261">
        <v>8033</v>
      </c>
      <c r="E335" s="1262">
        <v>10967</v>
      </c>
      <c r="F335" s="1263">
        <v>10000</v>
      </c>
      <c r="G335" s="1264">
        <v>10000</v>
      </c>
      <c r="H335" s="1265">
        <v>10000</v>
      </c>
      <c r="I335" s="1191"/>
      <c r="J335" s="1192"/>
      <c r="K335" s="1191"/>
      <c r="L335" s="947"/>
      <c r="M335" s="1266"/>
      <c r="N335" s="47"/>
    </row>
    <row r="336" spans="1:14" s="85" customFormat="1" ht="12.75">
      <c r="A336" s="1260"/>
      <c r="B336" s="1221"/>
      <c r="C336" s="1237" t="s">
        <v>429</v>
      </c>
      <c r="D336" s="1261">
        <v>2800</v>
      </c>
      <c r="E336" s="1262">
        <v>2340.6</v>
      </c>
      <c r="F336" s="1263">
        <v>2800</v>
      </c>
      <c r="G336" s="1264">
        <v>2800</v>
      </c>
      <c r="H336" s="1265">
        <v>2800</v>
      </c>
      <c r="I336" s="1191"/>
      <c r="J336" s="1192"/>
      <c r="K336" s="1191"/>
      <c r="L336" s="947"/>
      <c r="M336" s="1266"/>
      <c r="N336" s="47"/>
    </row>
    <row r="337" spans="1:14" s="85" customFormat="1" ht="12.75">
      <c r="A337" s="1260"/>
      <c r="B337" s="1221"/>
      <c r="C337" s="1221" t="s">
        <v>737</v>
      </c>
      <c r="D337" s="1261"/>
      <c r="E337" s="1262"/>
      <c r="F337" s="1223">
        <v>400</v>
      </c>
      <c r="G337" s="1264"/>
      <c r="H337" s="1265"/>
      <c r="I337" s="1191"/>
      <c r="J337" s="1192"/>
      <c r="K337" s="1191"/>
      <c r="L337" s="947"/>
      <c r="M337" s="1266"/>
      <c r="N337" s="47"/>
    </row>
    <row r="338" spans="1:13" ht="12.75">
      <c r="A338" s="998" t="s">
        <v>681</v>
      </c>
      <c r="B338" s="999"/>
      <c r="C338" s="999" t="s">
        <v>686</v>
      </c>
      <c r="D338" s="1261">
        <v>7813</v>
      </c>
      <c r="E338" s="1262">
        <v>8138</v>
      </c>
      <c r="F338" s="1263">
        <v>8000</v>
      </c>
      <c r="G338" s="1264">
        <v>8000</v>
      </c>
      <c r="H338" s="1265">
        <v>8000</v>
      </c>
      <c r="I338" s="1041"/>
      <c r="K338" s="1118"/>
      <c r="L338" s="947"/>
      <c r="M338" s="1018"/>
    </row>
    <row r="339" spans="1:13" ht="12.75">
      <c r="A339" s="998"/>
      <c r="B339" s="999"/>
      <c r="C339" s="999" t="s">
        <v>441</v>
      </c>
      <c r="D339" s="1261">
        <v>5756.26</v>
      </c>
      <c r="E339" s="1428">
        <v>41934.97</v>
      </c>
      <c r="F339" s="1267">
        <v>60000</v>
      </c>
      <c r="G339" s="1268">
        <v>0</v>
      </c>
      <c r="H339" s="1269">
        <v>0</v>
      </c>
      <c r="I339" s="1041"/>
      <c r="K339" s="1118"/>
      <c r="L339" s="947"/>
      <c r="M339" s="1018"/>
    </row>
    <row r="340" spans="1:13" ht="12.75">
      <c r="A340" s="1270"/>
      <c r="B340" s="1271"/>
      <c r="C340" s="1271" t="s">
        <v>442</v>
      </c>
      <c r="D340" s="1272">
        <v>3990.37</v>
      </c>
      <c r="E340" s="1273">
        <v>17392.6</v>
      </c>
      <c r="F340" s="1274">
        <v>0</v>
      </c>
      <c r="G340" s="1275">
        <v>0</v>
      </c>
      <c r="H340" s="1276">
        <v>0</v>
      </c>
      <c r="I340" s="1041"/>
      <c r="K340" s="1118"/>
      <c r="L340" s="947"/>
      <c r="M340" s="1018"/>
    </row>
    <row r="341" spans="1:13" s="1092" customFormat="1" ht="12.75">
      <c r="A341" s="1111" t="s">
        <v>687</v>
      </c>
      <c r="B341" s="1147"/>
      <c r="C341" s="1147" t="s">
        <v>443</v>
      </c>
      <c r="D341" s="1113">
        <f>SUM(D342,D344,D345)</f>
        <v>62000</v>
      </c>
      <c r="E341" s="1195">
        <f>SUM(E342,E344,E343,E345)</f>
        <v>64235.08</v>
      </c>
      <c r="F341" s="1115">
        <f>SUM(F342,F344,F345)</f>
        <v>67400</v>
      </c>
      <c r="G341" s="1116">
        <f>SUM(G342,G344,G345)</f>
        <v>65600</v>
      </c>
      <c r="H341" s="1117">
        <f>SUM(H342,H344,H345)</f>
        <v>66900</v>
      </c>
      <c r="I341" s="1106"/>
      <c r="J341" s="1055"/>
      <c r="K341" s="957"/>
      <c r="L341" s="957"/>
      <c r="M341" s="957"/>
    </row>
    <row r="342" spans="1:13" ht="12.75">
      <c r="A342" s="1216">
        <v>610</v>
      </c>
      <c r="B342" s="1217"/>
      <c r="C342" s="1218" t="s">
        <v>519</v>
      </c>
      <c r="D342" s="333">
        <v>21400</v>
      </c>
      <c r="E342" s="330">
        <v>21400</v>
      </c>
      <c r="F342" s="321">
        <v>23000</v>
      </c>
      <c r="G342" s="351">
        <v>24000</v>
      </c>
      <c r="H342" s="335">
        <v>25000</v>
      </c>
      <c r="I342" s="201"/>
      <c r="K342" s="201"/>
      <c r="L342" s="178"/>
      <c r="M342" s="201"/>
    </row>
    <row r="343" spans="1:13" ht="12.75">
      <c r="A343" s="1216"/>
      <c r="B343" s="1217"/>
      <c r="C343" s="1426" t="s">
        <v>740</v>
      </c>
      <c r="D343" s="333"/>
      <c r="E343" s="1255">
        <v>1303.08</v>
      </c>
      <c r="F343" s="321"/>
      <c r="G343" s="351"/>
      <c r="H343" s="335"/>
      <c r="I343" s="201"/>
      <c r="K343" s="201"/>
      <c r="L343" s="178"/>
      <c r="M343" s="201"/>
    </row>
    <row r="344" spans="1:13" ht="12.75">
      <c r="A344" s="1216">
        <v>620</v>
      </c>
      <c r="B344" s="1201"/>
      <c r="C344" s="1201" t="s">
        <v>227</v>
      </c>
      <c r="D344" s="333">
        <v>7850</v>
      </c>
      <c r="E344" s="330">
        <v>7850</v>
      </c>
      <c r="F344" s="321">
        <v>8000</v>
      </c>
      <c r="G344" s="351">
        <v>8200</v>
      </c>
      <c r="H344" s="335">
        <v>8500</v>
      </c>
      <c r="I344" s="201"/>
      <c r="K344" s="201"/>
      <c r="L344" s="178"/>
      <c r="M344" s="201"/>
    </row>
    <row r="345" spans="1:13" ht="12.75">
      <c r="A345" s="1219">
        <v>630</v>
      </c>
      <c r="B345" s="1202"/>
      <c r="C345" s="1202" t="s">
        <v>404</v>
      </c>
      <c r="D345" s="333">
        <f>SUM(D346,D347,D349,D352,D350,D351)</f>
        <v>32750</v>
      </c>
      <c r="E345" s="330">
        <f>SUM(E346,E347,E349,E352,E350,E351,E348)</f>
        <v>33682</v>
      </c>
      <c r="F345" s="321">
        <f>SUM(F346,F347,F349,F352,F350,F351)</f>
        <v>36400</v>
      </c>
      <c r="G345" s="351">
        <f>SUM(G346,G347,G349,G352,G350,G351)</f>
        <v>33400</v>
      </c>
      <c r="H345" s="335">
        <f>SUM(H346,H347,H349,H352,H350,H351)</f>
        <v>33400</v>
      </c>
      <c r="I345" s="201"/>
      <c r="K345" s="178"/>
      <c r="L345" s="178"/>
      <c r="M345" s="201"/>
    </row>
    <row r="346" spans="1:13" ht="12.75">
      <c r="A346" s="165">
        <v>632</v>
      </c>
      <c r="B346" s="228"/>
      <c r="C346" s="228" t="s">
        <v>688</v>
      </c>
      <c r="D346" s="1063">
        <v>7500</v>
      </c>
      <c r="E346" s="1203">
        <v>8500</v>
      </c>
      <c r="F346" s="128">
        <v>8000</v>
      </c>
      <c r="G346" s="129">
        <v>7500</v>
      </c>
      <c r="H346" s="130">
        <v>7500</v>
      </c>
      <c r="I346" s="1051"/>
      <c r="K346" s="1051"/>
      <c r="L346" s="1037"/>
      <c r="M346" s="1051"/>
    </row>
    <row r="347" spans="1:13" ht="12.75">
      <c r="A347" s="102">
        <v>633</v>
      </c>
      <c r="B347" s="103"/>
      <c r="C347" s="103" t="s">
        <v>398</v>
      </c>
      <c r="D347" s="1063">
        <v>400</v>
      </c>
      <c r="E347" s="1203">
        <v>550</v>
      </c>
      <c r="F347" s="128">
        <v>500</v>
      </c>
      <c r="G347" s="129">
        <v>500</v>
      </c>
      <c r="H347" s="130">
        <v>500</v>
      </c>
      <c r="I347" s="1051"/>
      <c r="K347" s="1107"/>
      <c r="L347" s="1037"/>
      <c r="M347" s="1051"/>
    </row>
    <row r="348" spans="1:13" ht="12.75">
      <c r="A348" s="1026">
        <v>633</v>
      </c>
      <c r="B348" s="1027" t="s">
        <v>107</v>
      </c>
      <c r="C348" s="1027" t="s">
        <v>527</v>
      </c>
      <c r="D348" s="1063"/>
      <c r="E348" s="1203">
        <v>425</v>
      </c>
      <c r="F348" s="128"/>
      <c r="G348" s="129"/>
      <c r="H348" s="130"/>
      <c r="I348" s="1051"/>
      <c r="K348" s="1107"/>
      <c r="L348" s="1037"/>
      <c r="M348" s="1051"/>
    </row>
    <row r="349" spans="1:13" ht="12.75">
      <c r="A349" s="1026">
        <v>633</v>
      </c>
      <c r="B349" s="1027" t="s">
        <v>536</v>
      </c>
      <c r="C349" s="1027" t="s">
        <v>428</v>
      </c>
      <c r="D349" s="1063">
        <v>23000</v>
      </c>
      <c r="E349" s="1203">
        <v>23000</v>
      </c>
      <c r="F349" s="128">
        <v>23000</v>
      </c>
      <c r="G349" s="129">
        <v>23000</v>
      </c>
      <c r="H349" s="130">
        <v>23000</v>
      </c>
      <c r="I349" s="1051"/>
      <c r="K349" s="1051"/>
      <c r="L349" s="1037"/>
      <c r="M349" s="201"/>
    </row>
    <row r="350" spans="1:13" ht="12.75">
      <c r="A350" s="102">
        <v>633</v>
      </c>
      <c r="B350" s="103" t="s">
        <v>123</v>
      </c>
      <c r="C350" s="1277" t="s">
        <v>689</v>
      </c>
      <c r="D350" s="1063">
        <v>1500</v>
      </c>
      <c r="E350" s="1203">
        <v>507</v>
      </c>
      <c r="F350" s="128">
        <v>4000</v>
      </c>
      <c r="G350" s="129">
        <v>1500</v>
      </c>
      <c r="H350" s="130">
        <v>1500</v>
      </c>
      <c r="I350" s="1051"/>
      <c r="K350" s="1051"/>
      <c r="L350" s="1037"/>
      <c r="M350" s="201"/>
    </row>
    <row r="351" spans="1:13" ht="12.75">
      <c r="A351" s="102">
        <v>635</v>
      </c>
      <c r="B351" s="103"/>
      <c r="C351" s="1277" t="s">
        <v>690</v>
      </c>
      <c r="D351" s="1063">
        <v>200</v>
      </c>
      <c r="E351" s="1203">
        <v>450</v>
      </c>
      <c r="F351" s="128">
        <v>400</v>
      </c>
      <c r="G351" s="129">
        <v>400</v>
      </c>
      <c r="H351" s="130">
        <v>400</v>
      </c>
      <c r="I351" s="1051"/>
      <c r="K351" s="1051"/>
      <c r="L351" s="1037"/>
      <c r="M351" s="201"/>
    </row>
    <row r="352" spans="1:14" ht="12.75">
      <c r="A352" s="1236">
        <v>637</v>
      </c>
      <c r="B352" s="87"/>
      <c r="C352" s="87" t="s">
        <v>241</v>
      </c>
      <c r="D352" s="1278">
        <v>150</v>
      </c>
      <c r="E352" s="1279">
        <v>250</v>
      </c>
      <c r="F352" s="1280">
        <v>500</v>
      </c>
      <c r="G352" s="1281">
        <v>500</v>
      </c>
      <c r="H352" s="1282">
        <v>500</v>
      </c>
      <c r="I352" s="1051"/>
      <c r="K352" s="1107"/>
      <c r="L352" s="1037"/>
      <c r="M352" s="201"/>
      <c r="N352" s="1073"/>
    </row>
    <row r="353" spans="1:13" ht="12.75">
      <c r="A353" s="1065" t="s">
        <v>691</v>
      </c>
      <c r="B353" s="1066"/>
      <c r="C353" s="1184" t="s">
        <v>511</v>
      </c>
      <c r="D353" s="1094">
        <f>SUM(D316,D326,D341)</f>
        <v>669089.15</v>
      </c>
      <c r="E353" s="1283">
        <f>SUM(E316,E326,E341)</f>
        <v>768052.7699999999</v>
      </c>
      <c r="F353" s="1096">
        <f>SUM(F316,F326,F341)</f>
        <v>757000</v>
      </c>
      <c r="G353" s="1097">
        <f>SUM(G316,G326,G341)</f>
        <v>711300</v>
      </c>
      <c r="H353" s="1098">
        <f>SUM(H316,H326,H341)</f>
        <v>745600</v>
      </c>
      <c r="I353" s="239"/>
      <c r="J353" s="178"/>
      <c r="K353" s="957"/>
      <c r="L353" s="957"/>
      <c r="M353" s="957"/>
    </row>
    <row r="354" spans="1:8" ht="12.75">
      <c r="A354" s="178"/>
      <c r="B354" s="178"/>
      <c r="C354" s="178"/>
      <c r="D354" s="178"/>
      <c r="E354" s="113"/>
      <c r="F354" s="1074"/>
      <c r="G354" s="113"/>
      <c r="H354" s="113"/>
    </row>
    <row r="355" spans="1:13" ht="12.75">
      <c r="A355" s="178"/>
      <c r="B355" s="178"/>
      <c r="C355" s="178"/>
      <c r="D355" s="178"/>
      <c r="E355" s="113"/>
      <c r="F355" s="1470" t="s">
        <v>692</v>
      </c>
      <c r="G355" s="1470"/>
      <c r="H355" s="1470"/>
      <c r="I355" s="349"/>
      <c r="J355" s="349"/>
      <c r="K355" s="349"/>
      <c r="L355" s="349"/>
      <c r="M355" s="349"/>
    </row>
    <row r="356" spans="1:8" ht="12.75" hidden="1">
      <c r="A356" s="178"/>
      <c r="B356" s="178"/>
      <c r="C356" s="178"/>
      <c r="D356" s="178"/>
      <c r="E356" s="113"/>
      <c r="F356" s="1074"/>
      <c r="G356" s="113"/>
      <c r="H356" s="113"/>
    </row>
    <row r="357" spans="1:13" s="1083" customFormat="1" ht="12.75">
      <c r="A357" s="939" t="s">
        <v>478</v>
      </c>
      <c r="B357" s="940"/>
      <c r="C357" s="1075"/>
      <c r="D357" s="66">
        <v>2012</v>
      </c>
      <c r="E357" s="1187">
        <v>2013</v>
      </c>
      <c r="F357" s="1077">
        <v>2014</v>
      </c>
      <c r="G357" s="1078">
        <v>2015</v>
      </c>
      <c r="H357" s="1079">
        <v>2016</v>
      </c>
      <c r="I357" s="1080"/>
      <c r="J357" s="1081"/>
      <c r="K357" s="1082"/>
      <c r="L357" s="945"/>
      <c r="M357" s="946"/>
    </row>
    <row r="358" spans="1:13" s="378" customFormat="1" ht="11.25">
      <c r="A358" s="949" t="s">
        <v>693</v>
      </c>
      <c r="B358" s="1157"/>
      <c r="C358" s="1157"/>
      <c r="D358" s="1132">
        <f>D359+D360+D361+D363+D364+D368+D369</f>
        <v>40650</v>
      </c>
      <c r="E358" s="1133">
        <f>E359+E360+E361+E363+E364+E368+E369</f>
        <v>46585</v>
      </c>
      <c r="F358" s="1134">
        <f>F359+F360+F361+F363+F364+F368+F369</f>
        <v>43100</v>
      </c>
      <c r="G358" s="1135">
        <f>G359+G360+G361+G363+G364+G368+G369</f>
        <v>44500</v>
      </c>
      <c r="H358" s="1284">
        <f>H359+H360+H361+H363+H364+H368+H369</f>
        <v>45500</v>
      </c>
      <c r="I358" s="1106"/>
      <c r="J358" s="328"/>
      <c r="K358" s="957"/>
      <c r="L358" s="957"/>
      <c r="M358" s="957"/>
    </row>
    <row r="359" spans="1:13" ht="12.75">
      <c r="A359" s="86" t="s">
        <v>694</v>
      </c>
      <c r="B359" s="87"/>
      <c r="C359" s="87" t="s">
        <v>455</v>
      </c>
      <c r="D359" s="1285">
        <v>3900</v>
      </c>
      <c r="E359" s="1286">
        <v>3000</v>
      </c>
      <c r="F359" s="984">
        <v>3500</v>
      </c>
      <c r="G359" s="1287">
        <v>3900</v>
      </c>
      <c r="H359" s="1288">
        <v>3900</v>
      </c>
      <c r="I359" s="238"/>
      <c r="J359" s="52"/>
      <c r="K359" s="201"/>
      <c r="L359" s="178"/>
      <c r="M359" s="178"/>
    </row>
    <row r="360" spans="1:13" ht="12.75">
      <c r="A360" s="86" t="s">
        <v>694</v>
      </c>
      <c r="B360" s="87"/>
      <c r="C360" s="87" t="s">
        <v>456</v>
      </c>
      <c r="D360" s="1285">
        <v>8800</v>
      </c>
      <c r="E360" s="1286">
        <v>6000</v>
      </c>
      <c r="F360" s="984">
        <v>6000</v>
      </c>
      <c r="G360" s="1287">
        <v>6000</v>
      </c>
      <c r="H360" s="1288">
        <v>6000</v>
      </c>
      <c r="I360" s="238"/>
      <c r="J360" s="1289"/>
      <c r="K360" s="201"/>
      <c r="L360" s="178"/>
      <c r="M360" s="178"/>
    </row>
    <row r="361" spans="1:13" ht="12.75">
      <c r="A361" s="86" t="s">
        <v>459</v>
      </c>
      <c r="B361" s="87"/>
      <c r="C361" s="87" t="s">
        <v>695</v>
      </c>
      <c r="D361" s="1285">
        <v>600</v>
      </c>
      <c r="E361" s="1286">
        <v>600</v>
      </c>
      <c r="F361" s="984">
        <v>600</v>
      </c>
      <c r="G361" s="1287">
        <v>600</v>
      </c>
      <c r="H361" s="1288">
        <v>600</v>
      </c>
      <c r="I361" s="238"/>
      <c r="J361" s="268"/>
      <c r="K361" s="238"/>
      <c r="L361" s="238"/>
      <c r="M361" s="238"/>
    </row>
    <row r="362" spans="1:13" ht="12.75">
      <c r="A362" s="86" t="s">
        <v>459</v>
      </c>
      <c r="B362" s="87"/>
      <c r="C362" s="87" t="s">
        <v>696</v>
      </c>
      <c r="D362" s="1290"/>
      <c r="E362" s="1291"/>
      <c r="F362" s="99"/>
      <c r="G362" s="100"/>
      <c r="H362" s="101"/>
      <c r="I362" s="238"/>
      <c r="J362" s="268"/>
      <c r="K362" s="238"/>
      <c r="L362" s="238"/>
      <c r="M362" s="178"/>
    </row>
    <row r="363" spans="1:14" s="85" customFormat="1" ht="12.75">
      <c r="A363" s="1292" t="s">
        <v>697</v>
      </c>
      <c r="B363" s="87"/>
      <c r="C363" s="87" t="s">
        <v>698</v>
      </c>
      <c r="D363" s="1285">
        <v>1000</v>
      </c>
      <c r="E363" s="1286">
        <v>1000</v>
      </c>
      <c r="F363" s="984">
        <v>1000</v>
      </c>
      <c r="G363" s="1287">
        <v>1000</v>
      </c>
      <c r="H363" s="1288">
        <v>1000</v>
      </c>
      <c r="I363" s="238"/>
      <c r="J363" s="268"/>
      <c r="K363" s="238"/>
      <c r="L363" s="238"/>
      <c r="M363" s="238"/>
      <c r="N363" s="47"/>
    </row>
    <row r="364" spans="1:13" ht="12.75">
      <c r="A364" s="1293" t="s">
        <v>699</v>
      </c>
      <c r="B364" s="1294"/>
      <c r="C364" s="1221" t="s">
        <v>700</v>
      </c>
      <c r="D364" s="1290">
        <f>SUM(D365,D366,D367)</f>
        <v>10000</v>
      </c>
      <c r="E364" s="1291">
        <f>SUM(E365,E366,E367)</f>
        <v>17130</v>
      </c>
      <c r="F364" s="99">
        <f>SUM(F365,F366,F367)</f>
        <v>16000</v>
      </c>
      <c r="G364" s="100">
        <f>SUM(G365,G366,G367)</f>
        <v>17000</v>
      </c>
      <c r="H364" s="101">
        <f>SUM(H365,H366,H367)</f>
        <v>18000</v>
      </c>
      <c r="I364" s="1295"/>
      <c r="J364" s="268"/>
      <c r="K364" s="238"/>
      <c r="L364" s="238"/>
      <c r="M364" s="238"/>
    </row>
    <row r="365" spans="1:13" ht="12.75">
      <c r="A365" s="86"/>
      <c r="B365" s="959" t="s">
        <v>672</v>
      </c>
      <c r="C365" s="1061" t="s">
        <v>519</v>
      </c>
      <c r="D365" s="1063">
        <v>9200</v>
      </c>
      <c r="E365" s="1203">
        <v>14630</v>
      </c>
      <c r="F365" s="128">
        <v>15000</v>
      </c>
      <c r="G365" s="129">
        <v>16000</v>
      </c>
      <c r="H365" s="130">
        <v>17000</v>
      </c>
      <c r="I365" s="1296"/>
      <c r="J365" s="268"/>
      <c r="K365" s="238"/>
      <c r="L365" s="1297"/>
      <c r="M365" s="1051"/>
    </row>
    <row r="366" spans="1:13" ht="12.75">
      <c r="A366" s="86"/>
      <c r="B366" s="959" t="s">
        <v>673</v>
      </c>
      <c r="C366" s="1061" t="s">
        <v>404</v>
      </c>
      <c r="D366" s="1063">
        <v>800</v>
      </c>
      <c r="E366" s="1203">
        <v>2500</v>
      </c>
      <c r="F366" s="128">
        <v>1000</v>
      </c>
      <c r="G366" s="129">
        <v>1000</v>
      </c>
      <c r="H366" s="130">
        <v>1000</v>
      </c>
      <c r="I366" s="1296"/>
      <c r="J366" s="268"/>
      <c r="K366" s="238"/>
      <c r="L366" s="1297"/>
      <c r="M366" s="1051"/>
    </row>
    <row r="367" spans="1:13" ht="12.75">
      <c r="A367" s="86"/>
      <c r="B367" s="959">
        <v>642</v>
      </c>
      <c r="C367" s="1061" t="s">
        <v>343</v>
      </c>
      <c r="D367" s="1063">
        <v>0</v>
      </c>
      <c r="E367" s="1203">
        <v>0</v>
      </c>
      <c r="F367" s="128">
        <v>0</v>
      </c>
      <c r="G367" s="129">
        <v>0</v>
      </c>
      <c r="H367" s="130">
        <v>0</v>
      </c>
      <c r="I367" s="1296"/>
      <c r="J367" s="268"/>
      <c r="K367" s="238"/>
      <c r="L367" s="1297"/>
      <c r="M367" s="238"/>
    </row>
    <row r="368" spans="1:13" ht="12.75">
      <c r="A368" s="1293" t="s">
        <v>694</v>
      </c>
      <c r="B368" s="1220"/>
      <c r="C368" s="1061" t="s">
        <v>457</v>
      </c>
      <c r="D368" s="1285">
        <v>500</v>
      </c>
      <c r="E368" s="1286">
        <v>0</v>
      </c>
      <c r="F368" s="984">
        <v>0</v>
      </c>
      <c r="G368" s="1287">
        <v>0</v>
      </c>
      <c r="H368" s="1288">
        <v>0</v>
      </c>
      <c r="I368" s="1295"/>
      <c r="J368" s="268"/>
      <c r="K368" s="238"/>
      <c r="L368" s="238"/>
      <c r="M368" s="238"/>
    </row>
    <row r="369" spans="1:13" ht="12.75">
      <c r="A369" s="1293" t="s">
        <v>701</v>
      </c>
      <c r="B369" s="1220"/>
      <c r="C369" s="1221" t="s">
        <v>702</v>
      </c>
      <c r="D369" s="1290">
        <f>SUM(D370,D371,D372,D373)</f>
        <v>15850</v>
      </c>
      <c r="E369" s="1291">
        <f>SUM(E370,E371,E372,E373)</f>
        <v>18855</v>
      </c>
      <c r="F369" s="99">
        <f>SUM(F370,F371,F372,F373)</f>
        <v>16000</v>
      </c>
      <c r="G369" s="100">
        <f>SUM(G370,G371,G372,G373)</f>
        <v>16000</v>
      </c>
      <c r="H369" s="101">
        <f>SUM(H370,H371,H372,H373)</f>
        <v>16000</v>
      </c>
      <c r="I369" s="1295"/>
      <c r="J369" s="268"/>
      <c r="K369" s="238"/>
      <c r="L369" s="238"/>
      <c r="M369" s="238"/>
    </row>
    <row r="370" spans="1:13" ht="12.75">
      <c r="A370" s="1293" t="s">
        <v>697</v>
      </c>
      <c r="B370" s="1220">
        <v>642</v>
      </c>
      <c r="C370" s="1221" t="s">
        <v>703</v>
      </c>
      <c r="D370" s="333">
        <v>0</v>
      </c>
      <c r="E370" s="330">
        <v>0</v>
      </c>
      <c r="F370" s="321">
        <v>0</v>
      </c>
      <c r="G370" s="351">
        <v>0</v>
      </c>
      <c r="H370" s="335">
        <v>0</v>
      </c>
      <c r="I370" s="1296"/>
      <c r="J370" s="268"/>
      <c r="K370" s="1051"/>
      <c r="L370" s="1298"/>
      <c r="M370" s="238"/>
    </row>
    <row r="371" spans="1:13" ht="12.75">
      <c r="A371" s="86" t="s">
        <v>704</v>
      </c>
      <c r="B371" s="87"/>
      <c r="C371" s="87" t="s">
        <v>705</v>
      </c>
      <c r="D371" s="333">
        <v>0</v>
      </c>
      <c r="E371" s="330">
        <v>0</v>
      </c>
      <c r="F371" s="321">
        <v>0</v>
      </c>
      <c r="G371" s="351">
        <v>0</v>
      </c>
      <c r="H371" s="335">
        <v>0</v>
      </c>
      <c r="I371" s="1051"/>
      <c r="J371" s="1100"/>
      <c r="K371" s="1051"/>
      <c r="L371" s="238"/>
      <c r="M371" s="238"/>
    </row>
    <row r="372" spans="1:13" ht="12.75">
      <c r="A372" s="1299" t="s">
        <v>704</v>
      </c>
      <c r="B372" s="1300"/>
      <c r="C372" s="1300" t="s">
        <v>706</v>
      </c>
      <c r="D372" s="1301">
        <v>14500</v>
      </c>
      <c r="E372" s="1302">
        <v>14500</v>
      </c>
      <c r="F372" s="1303">
        <v>14500</v>
      </c>
      <c r="G372" s="1304">
        <v>14500</v>
      </c>
      <c r="H372" s="1305">
        <v>14500</v>
      </c>
      <c r="I372" s="1191"/>
      <c r="J372" s="1306"/>
      <c r="K372" s="1307"/>
      <c r="L372" s="1308"/>
      <c r="M372" s="1307"/>
    </row>
    <row r="373" spans="1:13" s="1311" customFormat="1" ht="12.75">
      <c r="A373" s="998" t="s">
        <v>704</v>
      </c>
      <c r="B373" s="999"/>
      <c r="C373" s="999" t="s">
        <v>707</v>
      </c>
      <c r="D373" s="1301">
        <v>1350</v>
      </c>
      <c r="E373" s="1302">
        <v>4355</v>
      </c>
      <c r="F373" s="1303">
        <v>1500</v>
      </c>
      <c r="G373" s="1304">
        <v>1500</v>
      </c>
      <c r="H373" s="1305">
        <v>1500</v>
      </c>
      <c r="I373" s="1191"/>
      <c r="J373" s="1289"/>
      <c r="K373" s="1309"/>
      <c r="L373" s="1310"/>
      <c r="M373" s="1309"/>
    </row>
    <row r="374" spans="1:13" ht="12.75">
      <c r="A374" s="1312" t="s">
        <v>309</v>
      </c>
      <c r="B374" s="1313"/>
      <c r="C374" s="1314" t="s">
        <v>708</v>
      </c>
      <c r="D374" s="1315">
        <f>SUM(D358)</f>
        <v>40650</v>
      </c>
      <c r="E374" s="1316">
        <f>SUM(E358)</f>
        <v>46585</v>
      </c>
      <c r="F374" s="1317">
        <f>SUM(F358)</f>
        <v>43100</v>
      </c>
      <c r="G374" s="363">
        <f>SUM(G358)</f>
        <v>44500</v>
      </c>
      <c r="H374" s="327">
        <f>SUM(H358)</f>
        <v>45500</v>
      </c>
      <c r="I374" s="239"/>
      <c r="J374" s="328"/>
      <c r="K374" s="957"/>
      <c r="L374" s="957"/>
      <c r="M374" s="957"/>
    </row>
    <row r="375" spans="1:14" ht="12.75">
      <c r="A375" s="301" t="s">
        <v>709</v>
      </c>
      <c r="B375" s="343"/>
      <c r="C375" s="303"/>
      <c r="D375" s="1318">
        <f>SUM(D89,D102,D143,D192,D221,D239,D253,D310,D353,D374)</f>
        <v>1266695.7200000002</v>
      </c>
      <c r="E375" s="1319">
        <f>E89+E102+E143+E192+E221+E239+E253+E310+E353+E374</f>
        <v>1384441.67</v>
      </c>
      <c r="F375" s="306">
        <f>F89+F102+F143+F192+F221+F239+F253+F310+F353+F374</f>
        <v>1378249</v>
      </c>
      <c r="G375" s="307">
        <f>G89+G102+G143+G192+G221+G239+G253+G310+G353+G374</f>
        <v>1302169</v>
      </c>
      <c r="H375" s="306">
        <f>H89+H102+H143+H192+H221+H239+H253+H310+H353+H374</f>
        <v>1336369</v>
      </c>
      <c r="I375" s="239"/>
      <c r="J375" s="52"/>
      <c r="K375" s="957"/>
      <c r="L375" s="957"/>
      <c r="M375" s="957"/>
      <c r="N375" s="1109"/>
    </row>
    <row r="376" spans="1:8" ht="12.75">
      <c r="A376" s="365"/>
      <c r="B376" s="51"/>
      <c r="C376" s="365"/>
      <c r="D376" s="365"/>
      <c r="E376" s="366"/>
      <c r="F376" s="366"/>
      <c r="G376" s="366"/>
      <c r="H376" s="1101"/>
    </row>
    <row r="377" spans="1:8" ht="12.75" hidden="1">
      <c r="A377" s="365"/>
      <c r="B377" s="51"/>
      <c r="C377" s="365"/>
      <c r="D377" s="365"/>
      <c r="E377" s="366"/>
      <c r="F377" s="366"/>
      <c r="G377" s="366"/>
      <c r="H377" s="1101"/>
    </row>
    <row r="378" spans="1:8" ht="12.75" hidden="1">
      <c r="A378" s="365"/>
      <c r="B378" s="51"/>
      <c r="C378" s="365"/>
      <c r="D378" s="365"/>
      <c r="E378" s="366"/>
      <c r="F378" s="366"/>
      <c r="G378" s="366"/>
      <c r="H378" s="1101"/>
    </row>
    <row r="379" spans="1:8" ht="12.75" hidden="1">
      <c r="A379" s="365"/>
      <c r="B379" s="51"/>
      <c r="C379" s="365"/>
      <c r="D379" s="365"/>
      <c r="E379" s="366"/>
      <c r="F379" s="366"/>
      <c r="G379" s="1320"/>
      <c r="H379" s="1101"/>
    </row>
    <row r="380" spans="1:8" ht="12.75">
      <c r="A380" s="365"/>
      <c r="B380" s="51"/>
      <c r="C380" s="365"/>
      <c r="D380" s="365"/>
      <c r="E380" s="366"/>
      <c r="F380" s="366"/>
      <c r="G380" s="366"/>
      <c r="H380" s="1101"/>
    </row>
    <row r="381" spans="1:8" ht="12.75" hidden="1">
      <c r="A381" s="365"/>
      <c r="B381" s="51"/>
      <c r="C381" s="365"/>
      <c r="D381" s="365"/>
      <c r="E381" s="366"/>
      <c r="F381" s="366"/>
      <c r="G381" s="366"/>
      <c r="H381" s="1101"/>
    </row>
    <row r="382" spans="1:8" ht="12.75" hidden="1">
      <c r="A382" s="365"/>
      <c r="B382" s="51"/>
      <c r="C382" s="365"/>
      <c r="D382" s="365"/>
      <c r="E382" s="366"/>
      <c r="F382" s="366"/>
      <c r="G382" s="366"/>
      <c r="H382" s="1101"/>
    </row>
    <row r="383" spans="1:8" ht="12.75" hidden="1">
      <c r="A383" s="365"/>
      <c r="B383" s="51"/>
      <c r="C383" s="365"/>
      <c r="D383" s="365"/>
      <c r="E383" s="366"/>
      <c r="F383" s="366"/>
      <c r="G383" s="366"/>
      <c r="H383" s="1101"/>
    </row>
    <row r="384" spans="1:8" ht="12.75" hidden="1">
      <c r="A384" s="365"/>
      <c r="B384" s="51"/>
      <c r="C384" s="365"/>
      <c r="D384" s="365"/>
      <c r="E384" s="366"/>
      <c r="F384" s="366"/>
      <c r="G384" s="366"/>
      <c r="H384" s="1101"/>
    </row>
    <row r="385" spans="1:8" ht="12.75" hidden="1">
      <c r="A385" s="365"/>
      <c r="B385" s="51"/>
      <c r="C385" s="365"/>
      <c r="D385" s="365"/>
      <c r="E385" s="366"/>
      <c r="F385" s="366"/>
      <c r="G385" s="366"/>
      <c r="H385" s="1101"/>
    </row>
    <row r="386" spans="1:8" ht="12.75" hidden="1">
      <c r="A386" s="365"/>
      <c r="B386" s="51"/>
      <c r="C386" s="365"/>
      <c r="D386" s="365"/>
      <c r="E386" s="366"/>
      <c r="F386" s="366"/>
      <c r="G386" s="366"/>
      <c r="H386" s="1101"/>
    </row>
    <row r="387" spans="1:8" ht="12.75" hidden="1">
      <c r="A387" s="365"/>
      <c r="B387" s="51"/>
      <c r="C387" s="365"/>
      <c r="D387" s="365"/>
      <c r="E387" s="366"/>
      <c r="F387" s="366"/>
      <c r="G387" s="366"/>
      <c r="H387" s="1101"/>
    </row>
    <row r="388" spans="1:8" ht="12.75" hidden="1">
      <c r="A388" s="365"/>
      <c r="B388" s="51"/>
      <c r="C388" s="365"/>
      <c r="D388" s="365"/>
      <c r="E388" s="366"/>
      <c r="F388" s="366"/>
      <c r="G388" s="366"/>
      <c r="H388" s="1101"/>
    </row>
    <row r="389" spans="1:8" ht="12.75" hidden="1">
      <c r="A389" s="365"/>
      <c r="B389" s="51"/>
      <c r="C389" s="365"/>
      <c r="D389" s="365"/>
      <c r="E389" s="366"/>
      <c r="F389" s="366"/>
      <c r="G389" s="366"/>
      <c r="H389" s="1101"/>
    </row>
    <row r="390" spans="1:8" ht="12.75" hidden="1">
      <c r="A390" s="365"/>
      <c r="B390" s="51"/>
      <c r="C390" s="365"/>
      <c r="D390" s="365"/>
      <c r="E390" s="366"/>
      <c r="F390" s="366"/>
      <c r="G390" s="366"/>
      <c r="H390" s="1101"/>
    </row>
    <row r="391" spans="1:8" ht="12.75" hidden="1">
      <c r="A391" s="365"/>
      <c r="B391" s="51"/>
      <c r="C391" s="365"/>
      <c r="D391" s="365"/>
      <c r="E391" s="366"/>
      <c r="F391" s="366"/>
      <c r="G391" s="366"/>
      <c r="H391" s="1101"/>
    </row>
    <row r="392" spans="1:8" ht="12.75">
      <c r="A392" s="365"/>
      <c r="B392" s="51"/>
      <c r="C392" s="937" t="s">
        <v>479</v>
      </c>
      <c r="D392" s="937"/>
      <c r="E392" s="366"/>
      <c r="F392" s="366"/>
      <c r="G392" s="366"/>
      <c r="H392" s="1101"/>
    </row>
    <row r="393" spans="1:8" ht="12.75">
      <c r="A393" s="365"/>
      <c r="B393" s="51"/>
      <c r="C393" s="365"/>
      <c r="D393" s="365"/>
      <c r="E393" s="366"/>
      <c r="F393" s="366"/>
      <c r="G393" s="366"/>
      <c r="H393" s="1101"/>
    </row>
    <row r="394" spans="1:13" s="1083" customFormat="1" ht="12.75">
      <c r="A394" s="939" t="s">
        <v>479</v>
      </c>
      <c r="B394" s="940"/>
      <c r="C394" s="1321"/>
      <c r="D394" s="66">
        <v>2012</v>
      </c>
      <c r="E394" s="1076">
        <v>2013</v>
      </c>
      <c r="F394" s="1077">
        <v>2014</v>
      </c>
      <c r="G394" s="1078">
        <v>2015</v>
      </c>
      <c r="H394" s="1079">
        <v>2016</v>
      </c>
      <c r="I394" s="1080"/>
      <c r="J394" s="1081"/>
      <c r="K394" s="1082"/>
      <c r="L394" s="945"/>
      <c r="M394" s="946"/>
    </row>
    <row r="395" spans="1:13" s="378" customFormat="1" ht="11.25">
      <c r="A395" s="1322" t="s">
        <v>518</v>
      </c>
      <c r="B395" s="1323"/>
      <c r="C395" s="1324"/>
      <c r="D395" s="1325">
        <v>3200</v>
      </c>
      <c r="E395" s="1326">
        <v>0</v>
      </c>
      <c r="F395" s="1327">
        <f>SUM(F396)</f>
        <v>0</v>
      </c>
      <c r="G395" s="1325">
        <v>0</v>
      </c>
      <c r="H395" s="1328">
        <v>0</v>
      </c>
      <c r="I395" s="202"/>
      <c r="J395" s="1091"/>
      <c r="K395" s="1091"/>
      <c r="L395" s="1091"/>
      <c r="M395" s="1091"/>
    </row>
    <row r="396" spans="1:12" ht="12.75">
      <c r="A396" s="260">
        <v>711</v>
      </c>
      <c r="B396" s="195" t="s">
        <v>104</v>
      </c>
      <c r="C396" s="196" t="s">
        <v>243</v>
      </c>
      <c r="D396" s="1206">
        <v>3200</v>
      </c>
      <c r="E396" s="1231">
        <v>0</v>
      </c>
      <c r="F396" s="1434">
        <v>0</v>
      </c>
      <c r="G396" s="1209">
        <v>0</v>
      </c>
      <c r="H396" s="1210">
        <v>0</v>
      </c>
      <c r="I396" s="201"/>
      <c r="K396" s="178"/>
      <c r="L396" s="178"/>
    </row>
    <row r="397" spans="1:12" ht="12.75">
      <c r="A397" s="1329"/>
      <c r="B397" s="178"/>
      <c r="C397" s="178"/>
      <c r="D397" s="1232"/>
      <c r="E397" s="1232"/>
      <c r="F397" s="1232"/>
      <c r="G397" s="1232"/>
      <c r="H397" s="357"/>
      <c r="I397" s="201"/>
      <c r="K397" s="178"/>
      <c r="L397" s="178"/>
    </row>
    <row r="398" spans="1:13" ht="12.75">
      <c r="A398" s="1330" t="s">
        <v>597</v>
      </c>
      <c r="B398" s="1331"/>
      <c r="C398" s="1332"/>
      <c r="D398" s="1333">
        <v>6960</v>
      </c>
      <c r="E398" s="1334">
        <f>E399</f>
        <v>6000</v>
      </c>
      <c r="F398" s="1335">
        <f>F399</f>
        <v>6000</v>
      </c>
      <c r="G398" s="1333">
        <f>G399</f>
        <v>0</v>
      </c>
      <c r="H398" s="1336">
        <f>H399</f>
        <v>0</v>
      </c>
      <c r="I398" s="202"/>
      <c r="J398" s="1091"/>
      <c r="K398" s="1091"/>
      <c r="L398" s="1091"/>
      <c r="M398" s="1091"/>
    </row>
    <row r="399" spans="1:12" ht="12.75">
      <c r="A399" s="225">
        <v>713</v>
      </c>
      <c r="B399" s="166" t="s">
        <v>123</v>
      </c>
      <c r="C399" s="167" t="s">
        <v>710</v>
      </c>
      <c r="D399" s="281"/>
      <c r="E399" s="318">
        <v>6000</v>
      </c>
      <c r="F399" s="319">
        <v>6000</v>
      </c>
      <c r="G399" s="284">
        <v>0</v>
      </c>
      <c r="H399" s="285">
        <v>0</v>
      </c>
      <c r="I399" s="201"/>
      <c r="K399" s="178"/>
      <c r="L399" s="178"/>
    </row>
    <row r="400" spans="1:13" ht="12.75">
      <c r="A400" s="1337">
        <v>713</v>
      </c>
      <c r="B400" s="1338" t="s">
        <v>123</v>
      </c>
      <c r="C400" s="1339" t="s">
        <v>711</v>
      </c>
      <c r="D400" s="384"/>
      <c r="E400" s="1340">
        <v>3000</v>
      </c>
      <c r="F400" s="1274">
        <v>3000</v>
      </c>
      <c r="G400" s="1341">
        <v>0</v>
      </c>
      <c r="H400" s="1342">
        <v>0</v>
      </c>
      <c r="I400" s="1019"/>
      <c r="J400" s="1003"/>
      <c r="K400" s="1018"/>
      <c r="L400" s="1018"/>
      <c r="M400" s="1003"/>
    </row>
    <row r="401" spans="1:14" s="85" customFormat="1" ht="12.75">
      <c r="A401" s="1227"/>
      <c r="B401" s="143"/>
      <c r="C401" s="143"/>
      <c r="D401" s="934"/>
      <c r="E401" s="934"/>
      <c r="F401" s="934"/>
      <c r="G401" s="934"/>
      <c r="H401" s="1343"/>
      <c r="I401" s="201"/>
      <c r="J401" s="51"/>
      <c r="K401" s="51"/>
      <c r="L401" s="178"/>
      <c r="M401" s="51"/>
      <c r="N401" s="47"/>
    </row>
    <row r="402" spans="1:13" s="378" customFormat="1" ht="11.25">
      <c r="A402" s="1497" t="s">
        <v>712</v>
      </c>
      <c r="B402" s="1497"/>
      <c r="C402" s="1497"/>
      <c r="D402" s="1344">
        <v>0</v>
      </c>
      <c r="E402" s="1345">
        <v>0</v>
      </c>
      <c r="F402" s="1335">
        <v>0</v>
      </c>
      <c r="G402" s="1333">
        <v>0</v>
      </c>
      <c r="H402" s="1346">
        <v>0</v>
      </c>
      <c r="I402" s="202"/>
      <c r="J402" s="1091"/>
      <c r="K402" s="1091"/>
      <c r="L402" s="1091"/>
      <c r="M402" s="1091"/>
    </row>
    <row r="403" spans="1:14" s="85" customFormat="1" ht="12.75">
      <c r="A403" s="131">
        <v>717</v>
      </c>
      <c r="B403" s="132" t="s">
        <v>107</v>
      </c>
      <c r="C403" s="133" t="s">
        <v>713</v>
      </c>
      <c r="D403" s="384"/>
      <c r="E403" s="385"/>
      <c r="F403" s="386"/>
      <c r="G403" s="1108"/>
      <c r="H403" s="388"/>
      <c r="I403" s="201"/>
      <c r="J403" s="51"/>
      <c r="K403" s="1107"/>
      <c r="L403" s="178"/>
      <c r="M403" s="51"/>
      <c r="N403" s="47"/>
    </row>
    <row r="404" spans="1:12" ht="12.75">
      <c r="A404" s="1227"/>
      <c r="B404" s="143"/>
      <c r="C404" s="143"/>
      <c r="D404" s="934"/>
      <c r="H404" s="1343"/>
      <c r="I404" s="201"/>
      <c r="L404" s="178"/>
    </row>
    <row r="405" spans="1:13" s="378" customFormat="1" ht="11.25">
      <c r="A405" s="1347" t="s">
        <v>714</v>
      </c>
      <c r="B405" s="1348"/>
      <c r="C405" s="1349"/>
      <c r="D405" s="1344">
        <v>0</v>
      </c>
      <c r="E405" s="1345">
        <v>0</v>
      </c>
      <c r="F405" s="1335">
        <v>0</v>
      </c>
      <c r="G405" s="1333">
        <v>0</v>
      </c>
      <c r="H405" s="1346">
        <v>0</v>
      </c>
      <c r="I405" s="202"/>
      <c r="J405" s="1091"/>
      <c r="K405" s="1091"/>
      <c r="L405" s="1091"/>
      <c r="M405" s="1091"/>
    </row>
    <row r="406" spans="1:12" ht="12.75">
      <c r="A406" s="131"/>
      <c r="B406" s="132"/>
      <c r="C406" s="133"/>
      <c r="D406" s="1172"/>
      <c r="E406" s="1350"/>
      <c r="F406" s="1351"/>
      <c r="G406" s="1352"/>
      <c r="H406" s="1353"/>
      <c r="I406" s="201"/>
      <c r="J406" s="160"/>
      <c r="L406" s="178"/>
    </row>
    <row r="407" spans="1:14" s="85" customFormat="1" ht="12.75">
      <c r="A407" s="1227"/>
      <c r="B407" s="143"/>
      <c r="C407" s="143"/>
      <c r="D407" s="934"/>
      <c r="E407" s="934"/>
      <c r="F407" s="934"/>
      <c r="G407" s="934"/>
      <c r="H407" s="1343"/>
      <c r="I407" s="201"/>
      <c r="J407" s="160"/>
      <c r="K407" s="51"/>
      <c r="L407" s="178"/>
      <c r="M407" s="51"/>
      <c r="N407" s="47"/>
    </row>
    <row r="408" spans="1:14" s="1360" customFormat="1" ht="11.25">
      <c r="A408" s="1354" t="s">
        <v>636</v>
      </c>
      <c r="B408" s="1331"/>
      <c r="C408" s="1332"/>
      <c r="D408" s="1355">
        <v>0</v>
      </c>
      <c r="E408" s="1356">
        <f>E409+E410</f>
        <v>8650</v>
      </c>
      <c r="F408" s="1357">
        <f>F409+F410</f>
        <v>467500</v>
      </c>
      <c r="G408" s="1358">
        <f>G409+G410</f>
        <v>0</v>
      </c>
      <c r="H408" s="1359">
        <f>H409+H410</f>
        <v>0</v>
      </c>
      <c r="I408" s="202"/>
      <c r="J408" s="1091"/>
      <c r="K408" s="202"/>
      <c r="L408" s="1091"/>
      <c r="M408" s="1091"/>
      <c r="N408" s="378"/>
    </row>
    <row r="409" spans="1:14" s="85" customFormat="1" ht="12.75">
      <c r="A409" s="102">
        <v>717</v>
      </c>
      <c r="B409" s="103" t="s">
        <v>104</v>
      </c>
      <c r="C409" s="104" t="s">
        <v>715</v>
      </c>
      <c r="D409" s="333"/>
      <c r="E409" s="282">
        <v>0</v>
      </c>
      <c r="F409" s="321">
        <v>0</v>
      </c>
      <c r="G409" s="351">
        <v>0</v>
      </c>
      <c r="H409" s="335">
        <v>0</v>
      </c>
      <c r="I409" s="1051"/>
      <c r="J409" s="51"/>
      <c r="K409" s="1051"/>
      <c r="L409" s="1107"/>
      <c r="M409" s="51"/>
      <c r="N409" s="47"/>
    </row>
    <row r="410" spans="1:14" s="85" customFormat="1" ht="12.75">
      <c r="A410" s="131">
        <v>717</v>
      </c>
      <c r="B410" s="132" t="s">
        <v>104</v>
      </c>
      <c r="C410" s="133" t="s">
        <v>716</v>
      </c>
      <c r="D410" s="384"/>
      <c r="E410" s="385">
        <v>8650</v>
      </c>
      <c r="F410" s="386">
        <v>467500</v>
      </c>
      <c r="G410" s="1108">
        <v>0</v>
      </c>
      <c r="H410" s="388">
        <v>0</v>
      </c>
      <c r="I410" s="1051"/>
      <c r="J410" s="51"/>
      <c r="K410" s="1051"/>
      <c r="L410" s="1107"/>
      <c r="M410" s="51"/>
      <c r="N410" s="47"/>
    </row>
    <row r="411" spans="1:14" s="85" customFormat="1" ht="12.75">
      <c r="A411" s="1227"/>
      <c r="B411" s="143"/>
      <c r="C411" s="143"/>
      <c r="D411" s="1232"/>
      <c r="E411" s="1232"/>
      <c r="F411" s="1232"/>
      <c r="G411" s="1232"/>
      <c r="H411" s="357"/>
      <c r="I411" s="1051"/>
      <c r="J411" s="51"/>
      <c r="K411" s="1051"/>
      <c r="L411" s="1107"/>
      <c r="M411" s="51"/>
      <c r="N411" s="47"/>
    </row>
    <row r="412" spans="1:13" s="378" customFormat="1" ht="11.25">
      <c r="A412" s="1354" t="s">
        <v>717</v>
      </c>
      <c r="B412" s="1331"/>
      <c r="C412" s="1332"/>
      <c r="D412" s="1344">
        <f>SUM(D413,D414,D415,D416,D417,D419)</f>
        <v>147454.05</v>
      </c>
      <c r="E412" s="1345">
        <f>SUM(E413,E414,E415,E416,E417,E419)</f>
        <v>37956</v>
      </c>
      <c r="F412" s="1335">
        <f>SUM(F413,F414,F415,F416,F417,F419)</f>
        <v>60000</v>
      </c>
      <c r="G412" s="1333">
        <f>SUM(G413,G414,G415,G416,G417,G419)</f>
        <v>0</v>
      </c>
      <c r="H412" s="1346">
        <f>SUM(H413,H414,H415,H416,H417,H419)</f>
        <v>0</v>
      </c>
      <c r="I412" s="202"/>
      <c r="J412" s="1091"/>
      <c r="K412" s="202"/>
      <c r="L412" s="202"/>
      <c r="M412" s="202"/>
    </row>
    <row r="413" spans="1:13" s="85" customFormat="1" ht="12.75">
      <c r="A413" s="102">
        <v>717</v>
      </c>
      <c r="B413" s="103" t="s">
        <v>104</v>
      </c>
      <c r="C413" s="104" t="s">
        <v>89</v>
      </c>
      <c r="D413" s="333">
        <v>0</v>
      </c>
      <c r="E413" s="282">
        <v>35941</v>
      </c>
      <c r="F413" s="321">
        <v>60000</v>
      </c>
      <c r="G413" s="351">
        <v>0</v>
      </c>
      <c r="H413" s="335">
        <v>0</v>
      </c>
      <c r="I413" s="201"/>
      <c r="J413" s="51"/>
      <c r="K413" s="178"/>
      <c r="L413" s="178"/>
      <c r="M413" s="178"/>
    </row>
    <row r="414" spans="1:13" ht="12.75">
      <c r="A414" s="102">
        <v>716</v>
      </c>
      <c r="B414" s="103"/>
      <c r="C414" s="104" t="s">
        <v>369</v>
      </c>
      <c r="D414" s="333">
        <v>4500</v>
      </c>
      <c r="E414" s="282">
        <v>2015</v>
      </c>
      <c r="F414" s="321">
        <v>0</v>
      </c>
      <c r="G414" s="351">
        <v>0</v>
      </c>
      <c r="H414" s="335">
        <v>0</v>
      </c>
      <c r="I414" s="201"/>
      <c r="J414" s="160"/>
      <c r="K414" s="201"/>
      <c r="L414" s="178"/>
      <c r="M414" s="178"/>
    </row>
    <row r="415" spans="1:13" ht="12.75">
      <c r="A415" s="102">
        <v>717</v>
      </c>
      <c r="B415" s="103" t="s">
        <v>104</v>
      </c>
      <c r="C415" s="104" t="s">
        <v>671</v>
      </c>
      <c r="D415" s="333">
        <v>0</v>
      </c>
      <c r="E415" s="282">
        <v>0</v>
      </c>
      <c r="F415" s="321">
        <v>0</v>
      </c>
      <c r="G415" s="351">
        <v>0</v>
      </c>
      <c r="H415" s="335">
        <v>0</v>
      </c>
      <c r="I415" s="201"/>
      <c r="J415" s="160"/>
      <c r="K415" s="178"/>
      <c r="L415" s="178"/>
      <c r="M415" s="178"/>
    </row>
    <row r="416" spans="1:14" s="85" customFormat="1" ht="12.75">
      <c r="A416" s="102">
        <v>717</v>
      </c>
      <c r="B416" s="103" t="s">
        <v>104</v>
      </c>
      <c r="C416" s="104" t="s">
        <v>718</v>
      </c>
      <c r="D416" s="333">
        <v>0</v>
      </c>
      <c r="E416" s="282">
        <v>0</v>
      </c>
      <c r="F416" s="321">
        <v>0</v>
      </c>
      <c r="G416" s="351">
        <v>0</v>
      </c>
      <c r="H416" s="335">
        <v>0</v>
      </c>
      <c r="I416" s="201"/>
      <c r="J416" s="160"/>
      <c r="K416" s="178"/>
      <c r="L416" s="201"/>
      <c r="M416" s="201"/>
      <c r="N416" s="47"/>
    </row>
    <row r="417" spans="1:14" s="85" customFormat="1" ht="12.75">
      <c r="A417" s="102">
        <v>717</v>
      </c>
      <c r="B417" s="103" t="s">
        <v>104</v>
      </c>
      <c r="C417" s="104" t="s">
        <v>719</v>
      </c>
      <c r="D417" s="333">
        <v>142954.05</v>
      </c>
      <c r="E417" s="282">
        <v>0</v>
      </c>
      <c r="F417" s="321">
        <v>0</v>
      </c>
      <c r="G417" s="351">
        <v>0</v>
      </c>
      <c r="H417" s="335">
        <v>0</v>
      </c>
      <c r="I417" s="201"/>
      <c r="J417" s="178"/>
      <c r="K417" s="201"/>
      <c r="L417" s="178"/>
      <c r="M417" s="178"/>
      <c r="N417" s="47"/>
    </row>
    <row r="418" spans="1:14" s="85" customFormat="1" ht="12.75">
      <c r="A418" s="1361">
        <v>717</v>
      </c>
      <c r="B418" s="1362" t="s">
        <v>104</v>
      </c>
      <c r="C418" s="1363" t="s">
        <v>720</v>
      </c>
      <c r="D418" s="1364"/>
      <c r="E418" s="1365"/>
      <c r="F418" s="1366"/>
      <c r="G418" s="1367"/>
      <c r="H418" s="1368"/>
      <c r="I418" s="1369"/>
      <c r="J418" s="1310"/>
      <c r="K418" s="1369"/>
      <c r="L418" s="1310"/>
      <c r="M418" s="1310"/>
      <c r="N418" s="47"/>
    </row>
    <row r="419" spans="1:14" s="85" customFormat="1" ht="12.75">
      <c r="A419" s="131">
        <v>717</v>
      </c>
      <c r="B419" s="132" t="s">
        <v>104</v>
      </c>
      <c r="C419" s="133" t="s">
        <v>721</v>
      </c>
      <c r="D419" s="384">
        <v>0</v>
      </c>
      <c r="E419" s="385">
        <v>0</v>
      </c>
      <c r="F419" s="386">
        <v>0</v>
      </c>
      <c r="G419" s="1108">
        <v>0</v>
      </c>
      <c r="H419" s="388">
        <v>0</v>
      </c>
      <c r="I419" s="201"/>
      <c r="J419" s="178"/>
      <c r="K419" s="178"/>
      <c r="L419" s="178"/>
      <c r="M419" s="178"/>
      <c r="N419" s="47"/>
    </row>
    <row r="420" spans="1:14" s="143" customFormat="1" ht="12.75">
      <c r="A420" s="1227"/>
      <c r="D420" s="934"/>
      <c r="E420" s="934"/>
      <c r="F420" s="934"/>
      <c r="G420" s="934"/>
      <c r="H420" s="1343"/>
      <c r="I420" s="201"/>
      <c r="J420" s="178"/>
      <c r="K420" s="51"/>
      <c r="L420" s="178"/>
      <c r="M420" s="51"/>
      <c r="N420" s="47"/>
    </row>
    <row r="421" spans="1:13" s="378" customFormat="1" ht="11.25">
      <c r="A421" s="1354" t="s">
        <v>649</v>
      </c>
      <c r="B421" s="1331"/>
      <c r="C421" s="1332"/>
      <c r="D421" s="1344">
        <v>0</v>
      </c>
      <c r="E421" s="1345">
        <v>0</v>
      </c>
      <c r="F421" s="1335">
        <v>0</v>
      </c>
      <c r="G421" s="1333">
        <v>0</v>
      </c>
      <c r="H421" s="1346">
        <v>0</v>
      </c>
      <c r="I421" s="202"/>
      <c r="J421" s="1091"/>
      <c r="K421" s="1091"/>
      <c r="L421" s="1091"/>
      <c r="M421" s="1091"/>
    </row>
    <row r="422" spans="1:12" ht="12.75">
      <c r="A422" s="131">
        <v>717</v>
      </c>
      <c r="B422" s="132" t="s">
        <v>104</v>
      </c>
      <c r="C422" s="133" t="s">
        <v>722</v>
      </c>
      <c r="D422" s="384"/>
      <c r="E422" s="385"/>
      <c r="F422" s="386"/>
      <c r="G422" s="1108"/>
      <c r="H422" s="388"/>
      <c r="I422" s="1051"/>
      <c r="J422" s="160"/>
      <c r="K422" s="178"/>
      <c r="L422" s="178"/>
    </row>
    <row r="423" spans="1:12" ht="12.75">
      <c r="A423" s="1227"/>
      <c r="B423" s="143"/>
      <c r="C423" s="143"/>
      <c r="D423" s="934"/>
      <c r="H423" s="1343"/>
      <c r="I423" s="1051"/>
      <c r="J423" s="160"/>
      <c r="K423" s="178"/>
      <c r="L423" s="178"/>
    </row>
    <row r="424" spans="1:13" s="378" customFormat="1" ht="11.25">
      <c r="A424" s="1370" t="s">
        <v>670</v>
      </c>
      <c r="B424" s="1371"/>
      <c r="C424" s="1372"/>
      <c r="D424" s="1345">
        <v>0</v>
      </c>
      <c r="E424" s="1345">
        <f>E425</f>
        <v>0</v>
      </c>
      <c r="F424" s="1335">
        <f>F425</f>
        <v>0</v>
      </c>
      <c r="G424" s="1334">
        <f>G425</f>
        <v>159834.77</v>
      </c>
      <c r="H424" s="1346">
        <f>H425</f>
        <v>0</v>
      </c>
      <c r="I424" s="1373"/>
      <c r="J424" s="1373"/>
      <c r="K424" s="1373"/>
      <c r="L424" s="1373"/>
      <c r="M424" s="1374"/>
    </row>
    <row r="425" spans="1:13" ht="12.75">
      <c r="A425" s="131">
        <v>717</v>
      </c>
      <c r="B425" s="132" t="s">
        <v>107</v>
      </c>
      <c r="C425" s="132" t="s">
        <v>723</v>
      </c>
      <c r="D425" s="1108"/>
      <c r="E425" s="385">
        <v>0</v>
      </c>
      <c r="F425" s="386">
        <v>0</v>
      </c>
      <c r="G425" s="1108">
        <v>159834.77</v>
      </c>
      <c r="H425" s="388">
        <v>0</v>
      </c>
      <c r="I425" s="1051"/>
      <c r="J425" s="160"/>
      <c r="K425" s="178"/>
      <c r="L425" s="178"/>
      <c r="M425" s="178"/>
    </row>
    <row r="426" spans="1:12" ht="12.75">
      <c r="A426" s="1227"/>
      <c r="B426" s="143"/>
      <c r="C426" s="143"/>
      <c r="D426" s="934"/>
      <c r="H426" s="1343"/>
      <c r="I426" s="1051"/>
      <c r="J426" s="160"/>
      <c r="L426" s="178"/>
    </row>
    <row r="427" spans="1:14" s="1360" customFormat="1" ht="11.25">
      <c r="A427" s="1354" t="s">
        <v>679</v>
      </c>
      <c r="B427" s="1331"/>
      <c r="C427" s="1332"/>
      <c r="D427" s="1355">
        <f>D429+D430</f>
        <v>436436</v>
      </c>
      <c r="E427" s="1356">
        <f>E429+E430</f>
        <v>0</v>
      </c>
      <c r="F427" s="1357">
        <f>F429+F430</f>
        <v>0</v>
      </c>
      <c r="G427" s="1358">
        <f>G429+G430</f>
        <v>0</v>
      </c>
      <c r="H427" s="1359">
        <f>H429+H430</f>
        <v>0</v>
      </c>
      <c r="I427" s="1373"/>
      <c r="J427" s="1373"/>
      <c r="K427" s="1373"/>
      <c r="L427" s="1373"/>
      <c r="M427" s="1373"/>
      <c r="N427" s="378"/>
    </row>
    <row r="428" spans="1:14" s="143" customFormat="1" ht="12.75">
      <c r="A428" s="102">
        <v>716</v>
      </c>
      <c r="B428" s="1375"/>
      <c r="C428" s="104" t="s">
        <v>724</v>
      </c>
      <c r="D428" s="333"/>
      <c r="E428" s="282"/>
      <c r="F428" s="321"/>
      <c r="G428" s="351"/>
      <c r="H428" s="335"/>
      <c r="I428" s="1376"/>
      <c r="J428" s="51"/>
      <c r="K428" s="178"/>
      <c r="L428" s="178"/>
      <c r="M428" s="178"/>
      <c r="N428" s="47"/>
    </row>
    <row r="429" spans="1:13" ht="12.75">
      <c r="A429" s="102">
        <v>717</v>
      </c>
      <c r="B429" s="103" t="s">
        <v>104</v>
      </c>
      <c r="C429" s="104" t="s">
        <v>725</v>
      </c>
      <c r="D429" s="333"/>
      <c r="E429" s="282"/>
      <c r="F429" s="321"/>
      <c r="G429" s="351">
        <v>0</v>
      </c>
      <c r="H429" s="335"/>
      <c r="I429" s="1377"/>
      <c r="J429" s="160"/>
      <c r="K429" s="178"/>
      <c r="L429" s="178"/>
      <c r="M429" s="178"/>
    </row>
    <row r="430" spans="1:13" ht="12.75">
      <c r="A430" s="165">
        <v>717</v>
      </c>
      <c r="B430" s="228" t="s">
        <v>107</v>
      </c>
      <c r="C430" s="355" t="s">
        <v>723</v>
      </c>
      <c r="D430" s="281">
        <v>436436</v>
      </c>
      <c r="E430" s="318">
        <v>0</v>
      </c>
      <c r="F430" s="319">
        <v>0</v>
      </c>
      <c r="G430" s="284">
        <v>0</v>
      </c>
      <c r="H430" s="285">
        <v>0</v>
      </c>
      <c r="I430" s="1377"/>
      <c r="J430" s="160"/>
      <c r="K430" s="178"/>
      <c r="L430" s="178"/>
      <c r="M430" s="178"/>
    </row>
    <row r="431" spans="1:13" ht="12.75">
      <c r="A431" s="1378">
        <v>717</v>
      </c>
      <c r="B431" s="1379" t="s">
        <v>107</v>
      </c>
      <c r="C431" s="1380" t="s">
        <v>726</v>
      </c>
      <c r="D431" s="384"/>
      <c r="E431" s="385"/>
      <c r="F431" s="386"/>
      <c r="G431" s="1108"/>
      <c r="H431" s="388"/>
      <c r="I431" s="1377"/>
      <c r="J431" s="160"/>
      <c r="K431" s="178"/>
      <c r="L431" s="178"/>
      <c r="M431" s="178"/>
    </row>
    <row r="432" spans="1:13" ht="12.75">
      <c r="A432" s="1227"/>
      <c r="B432" s="143"/>
      <c r="C432" s="143"/>
      <c r="D432" s="1232"/>
      <c r="E432" s="1232"/>
      <c r="F432" s="1232"/>
      <c r="G432" s="1232"/>
      <c r="H432" s="357"/>
      <c r="I432" s="1377"/>
      <c r="J432" s="160"/>
      <c r="K432" s="178"/>
      <c r="L432" s="178"/>
      <c r="M432" s="178"/>
    </row>
    <row r="433" spans="1:13" s="1092" customFormat="1" ht="12.75">
      <c r="A433" s="1370" t="s">
        <v>727</v>
      </c>
      <c r="B433" s="1371"/>
      <c r="C433" s="1372"/>
      <c r="D433" s="1381">
        <v>0</v>
      </c>
      <c r="E433" s="1382">
        <f>E434</f>
        <v>0</v>
      </c>
      <c r="F433" s="1383">
        <f>F434</f>
        <v>190000</v>
      </c>
      <c r="G433" s="1384">
        <f>G434</f>
        <v>0</v>
      </c>
      <c r="H433" s="1385">
        <f>H434</f>
        <v>0</v>
      </c>
      <c r="I433" s="1386"/>
      <c r="J433" s="1387"/>
      <c r="K433" s="1055"/>
      <c r="L433" s="1055"/>
      <c r="M433" s="1055"/>
    </row>
    <row r="434" spans="1:13" ht="12.75">
      <c r="A434" s="165">
        <v>717</v>
      </c>
      <c r="B434" s="228" t="s">
        <v>104</v>
      </c>
      <c r="C434" s="355" t="s">
        <v>463</v>
      </c>
      <c r="D434" s="281"/>
      <c r="E434" s="318">
        <v>0</v>
      </c>
      <c r="F434" s="319">
        <v>190000</v>
      </c>
      <c r="G434" s="284">
        <v>0</v>
      </c>
      <c r="H434" s="285">
        <v>0</v>
      </c>
      <c r="I434" s="1377"/>
      <c r="J434" s="160"/>
      <c r="K434" s="178"/>
      <c r="L434" s="178"/>
      <c r="M434" s="178"/>
    </row>
    <row r="435" spans="1:13" ht="12.75">
      <c r="A435" s="165"/>
      <c r="B435" s="228"/>
      <c r="C435" s="355"/>
      <c r="D435" s="281"/>
      <c r="E435" s="318"/>
      <c r="F435" s="319"/>
      <c r="G435" s="284"/>
      <c r="H435" s="285"/>
      <c r="I435" s="1377"/>
      <c r="J435" s="160"/>
      <c r="K435" s="178"/>
      <c r="L435" s="178"/>
      <c r="M435" s="178"/>
    </row>
    <row r="436" spans="1:14" s="85" customFormat="1" ht="12.75">
      <c r="A436" s="301" t="s">
        <v>728</v>
      </c>
      <c r="B436" s="343"/>
      <c r="C436" s="302"/>
      <c r="D436" s="1388">
        <f>D395+D398+D402+D405+D408+D412+D421+D424+D427+D433</f>
        <v>594050.05</v>
      </c>
      <c r="E436" s="307">
        <f>E395+E398+E402+E405+E408+E412+E421+E424+E427+E433</f>
        <v>52606</v>
      </c>
      <c r="F436" s="306">
        <f>F395+F398+F402+F405+F408+F412+F421+F424+F427+F433</f>
        <v>723500</v>
      </c>
      <c r="G436" s="308">
        <f>G395+G398+G402+G405+G408+G412+G421+G424+G427+G433</f>
        <v>159834.77</v>
      </c>
      <c r="H436" s="308">
        <f>H395+H398+H402+H405+H408+H412+H421+H424+H427+H433</f>
        <v>0</v>
      </c>
      <c r="I436" s="1389"/>
      <c r="J436" s="51"/>
      <c r="K436" s="957"/>
      <c r="L436" s="957"/>
      <c r="M436" s="957"/>
      <c r="N436" s="400"/>
    </row>
    <row r="437" spans="1:14" s="85" customFormat="1" ht="12.75">
      <c r="A437" s="47"/>
      <c r="B437" s="47"/>
      <c r="C437" s="47"/>
      <c r="D437" s="47"/>
      <c r="E437" s="934"/>
      <c r="F437" s="934"/>
      <c r="G437" s="934"/>
      <c r="H437" s="935"/>
      <c r="I437" s="178"/>
      <c r="J437" s="178"/>
      <c r="K437" s="51"/>
      <c r="L437" s="51"/>
      <c r="M437" s="51"/>
      <c r="N437" s="47"/>
    </row>
    <row r="438" spans="1:14" s="85" customFormat="1" ht="12.75" hidden="1">
      <c r="A438" s="47"/>
      <c r="B438" s="47"/>
      <c r="C438" s="47"/>
      <c r="D438" s="47"/>
      <c r="E438" s="934"/>
      <c r="F438" s="934"/>
      <c r="G438" s="934"/>
      <c r="H438" s="935"/>
      <c r="I438" s="178"/>
      <c r="J438" s="178"/>
      <c r="K438" s="51"/>
      <c r="L438" s="51"/>
      <c r="M438" s="51"/>
      <c r="N438" s="47"/>
    </row>
    <row r="439" spans="1:14" s="85" customFormat="1" ht="12.75" hidden="1">
      <c r="A439" s="47"/>
      <c r="B439" s="47"/>
      <c r="C439" s="47"/>
      <c r="D439" s="47"/>
      <c r="E439" s="934"/>
      <c r="F439" s="934"/>
      <c r="G439" s="934"/>
      <c r="H439" s="935"/>
      <c r="I439" s="178"/>
      <c r="J439" s="178"/>
      <c r="K439" s="51"/>
      <c r="L439" s="51"/>
      <c r="M439" s="51"/>
      <c r="N439" s="47"/>
    </row>
    <row r="440" spans="1:14" s="85" customFormat="1" ht="12.75" hidden="1">
      <c r="A440" s="47"/>
      <c r="B440" s="47"/>
      <c r="C440" s="47"/>
      <c r="D440" s="47"/>
      <c r="E440" s="934"/>
      <c r="F440" s="934"/>
      <c r="G440" s="934"/>
      <c r="H440" s="935"/>
      <c r="I440" s="178"/>
      <c r="J440" s="178"/>
      <c r="K440" s="51"/>
      <c r="L440" s="51"/>
      <c r="M440" s="51"/>
      <c r="N440" s="47"/>
    </row>
    <row r="441" spans="1:14" s="85" customFormat="1" ht="12.75">
      <c r="A441" s="47"/>
      <c r="B441" s="47"/>
      <c r="C441" s="937" t="s">
        <v>729</v>
      </c>
      <c r="D441" s="937"/>
      <c r="E441" s="934"/>
      <c r="F441" s="934"/>
      <c r="G441" s="934"/>
      <c r="H441" s="935"/>
      <c r="I441" s="178"/>
      <c r="J441" s="178"/>
      <c r="K441" s="51"/>
      <c r="L441" s="51"/>
      <c r="M441" s="51"/>
      <c r="N441" s="47"/>
    </row>
    <row r="442" spans="1:14" s="85" customFormat="1" ht="12.75">
      <c r="A442" s="47"/>
      <c r="B442" s="47"/>
      <c r="C442" s="47"/>
      <c r="D442" s="47"/>
      <c r="E442" s="934"/>
      <c r="F442" s="934"/>
      <c r="G442" s="934"/>
      <c r="H442" s="935"/>
      <c r="I442" s="178"/>
      <c r="J442" s="178"/>
      <c r="K442" s="51"/>
      <c r="L442" s="51"/>
      <c r="M442" s="51"/>
      <c r="N442" s="47"/>
    </row>
    <row r="443" spans="1:13" s="1083" customFormat="1" ht="12.75">
      <c r="A443" s="939" t="s">
        <v>485</v>
      </c>
      <c r="B443" s="940"/>
      <c r="C443" s="941"/>
      <c r="D443" s="66">
        <v>2012</v>
      </c>
      <c r="E443" s="1076">
        <v>2013</v>
      </c>
      <c r="F443" s="1077">
        <v>2014</v>
      </c>
      <c r="G443" s="1078">
        <v>2015</v>
      </c>
      <c r="H443" s="1079">
        <v>2016</v>
      </c>
      <c r="I443" s="1080"/>
      <c r="J443" s="1081"/>
      <c r="K443" s="1082"/>
      <c r="L443" s="945"/>
      <c r="M443" s="946"/>
    </row>
    <row r="444" spans="1:14" s="143" customFormat="1" ht="12.75">
      <c r="A444" s="102">
        <v>824</v>
      </c>
      <c r="B444" s="103"/>
      <c r="C444" s="104" t="s">
        <v>730</v>
      </c>
      <c r="D444" s="281">
        <v>6000</v>
      </c>
      <c r="E444" s="282">
        <v>215</v>
      </c>
      <c r="F444" s="321">
        <v>0</v>
      </c>
      <c r="G444" s="351">
        <v>0</v>
      </c>
      <c r="H444" s="335">
        <v>0</v>
      </c>
      <c r="I444" s="201"/>
      <c r="J444" s="51"/>
      <c r="K444" s="201"/>
      <c r="L444" s="178"/>
      <c r="M444" s="178"/>
      <c r="N444" s="47"/>
    </row>
    <row r="445" spans="1:14" s="143" customFormat="1" ht="12.75">
      <c r="A445" s="102">
        <v>821</v>
      </c>
      <c r="B445" s="103"/>
      <c r="C445" s="104" t="s">
        <v>731</v>
      </c>
      <c r="D445" s="281">
        <v>188795.17</v>
      </c>
      <c r="E445" s="282">
        <v>124346.77</v>
      </c>
      <c r="F445" s="1430">
        <v>155204</v>
      </c>
      <c r="G445" s="351">
        <v>30449.23</v>
      </c>
      <c r="H445" s="335">
        <v>0</v>
      </c>
      <c r="I445" s="201"/>
      <c r="J445" s="51"/>
      <c r="K445" s="201"/>
      <c r="L445" s="201"/>
      <c r="M445" s="201"/>
      <c r="N445" s="47"/>
    </row>
    <row r="446" spans="1:13" ht="12.75">
      <c r="A446" s="301" t="s">
        <v>732</v>
      </c>
      <c r="B446" s="343"/>
      <c r="C446" s="303"/>
      <c r="D446" s="1388">
        <f>SUM(D444,D445)</f>
        <v>194795.17</v>
      </c>
      <c r="E446" s="345">
        <f>E444+E445</f>
        <v>124561.77</v>
      </c>
      <c r="F446" s="344">
        <f>F444+F445</f>
        <v>155204</v>
      </c>
      <c r="G446" s="1390">
        <f>G444+G445</f>
        <v>30449.23</v>
      </c>
      <c r="H446" s="344">
        <f>H444+H445</f>
        <v>0</v>
      </c>
      <c r="I446" s="202"/>
      <c r="J446" s="1055"/>
      <c r="K446" s="957"/>
      <c r="L446" s="957"/>
      <c r="M446" s="957"/>
    </row>
    <row r="447" spans="1:8" ht="12.75">
      <c r="A447" s="143"/>
      <c r="B447" s="143"/>
      <c r="C447" s="143"/>
      <c r="D447" s="143"/>
      <c r="E447" s="1232"/>
      <c r="F447" s="1232"/>
      <c r="G447" s="1232"/>
      <c r="H447" s="147"/>
    </row>
    <row r="448" spans="1:8" ht="12.75" hidden="1">
      <c r="A448" s="143"/>
      <c r="B448" s="143"/>
      <c r="C448" s="143"/>
      <c r="D448" s="143"/>
      <c r="E448" s="1232"/>
      <c r="F448" s="1232"/>
      <c r="G448" s="1232"/>
      <c r="H448" s="147"/>
    </row>
    <row r="449" spans="1:8" ht="12.75">
      <c r="A449" s="143"/>
      <c r="B449" s="143"/>
      <c r="C449" s="143"/>
      <c r="D449" s="143"/>
      <c r="E449" s="1232"/>
      <c r="F449" s="1232"/>
      <c r="G449" s="1232"/>
      <c r="H449" s="147"/>
    </row>
    <row r="450" spans="1:13" s="1083" customFormat="1" ht="12">
      <c r="A450" s="1391" t="s">
        <v>514</v>
      </c>
      <c r="B450" s="1392"/>
      <c r="C450" s="1393"/>
      <c r="D450" s="1394">
        <v>2012</v>
      </c>
      <c r="E450" s="1395">
        <v>2013</v>
      </c>
      <c r="F450" s="1396">
        <v>2014</v>
      </c>
      <c r="G450" s="1397">
        <v>2015</v>
      </c>
      <c r="H450" s="1398">
        <v>2016</v>
      </c>
      <c r="I450" s="1081"/>
      <c r="J450" s="1081"/>
      <c r="K450" s="1399"/>
      <c r="L450" s="1400"/>
      <c r="M450" s="946"/>
    </row>
    <row r="451" spans="1:14" ht="14.25">
      <c r="A451" s="1401" t="s">
        <v>733</v>
      </c>
      <c r="B451" s="1402"/>
      <c r="C451" s="1402"/>
      <c r="D451" s="281">
        <f>SUM(D375)</f>
        <v>1266695.7200000002</v>
      </c>
      <c r="E451" s="322">
        <f>SUM(E375)</f>
        <v>1384441.67</v>
      </c>
      <c r="F451" s="124">
        <f>F375</f>
        <v>1378249</v>
      </c>
      <c r="G451" s="220">
        <f>SUM(G89,G102,G143,G192,G221,G239,G253,G310,G353,G374)</f>
        <v>1302169</v>
      </c>
      <c r="H451" s="227">
        <f>SUM(H375)</f>
        <v>1336369</v>
      </c>
      <c r="I451" s="201"/>
      <c r="J451" s="1403"/>
      <c r="K451" s="201"/>
      <c r="L451" s="201"/>
      <c r="M451" s="201"/>
      <c r="N451" s="1404"/>
    </row>
    <row r="452" spans="1:14" ht="14.25">
      <c r="A452" s="1401" t="s">
        <v>734</v>
      </c>
      <c r="B452" s="1402"/>
      <c r="C452" s="1402"/>
      <c r="D452" s="333">
        <f>SUM(D436)</f>
        <v>594050.05</v>
      </c>
      <c r="E452" s="330">
        <f>SUM(E436)</f>
        <v>52606</v>
      </c>
      <c r="F452" s="209">
        <f>F436</f>
        <v>723500</v>
      </c>
      <c r="G452" s="210">
        <f>G436</f>
        <v>159834.77</v>
      </c>
      <c r="H452" s="211">
        <f>SUM(H436)</f>
        <v>0</v>
      </c>
      <c r="I452" s="201"/>
      <c r="J452" s="1403"/>
      <c r="K452" s="178"/>
      <c r="L452" s="178"/>
      <c r="M452" s="178"/>
      <c r="N452" s="400"/>
    </row>
    <row r="453" spans="1:14" ht="14.25">
      <c r="A453" s="1401" t="s">
        <v>485</v>
      </c>
      <c r="B453" s="1402"/>
      <c r="C453" s="1402"/>
      <c r="D453" s="401">
        <f>D446</f>
        <v>194795.17</v>
      </c>
      <c r="E453" s="1405">
        <f>E446</f>
        <v>124561.77</v>
      </c>
      <c r="F453" s="124">
        <f>F446</f>
        <v>155204</v>
      </c>
      <c r="G453" s="125">
        <f>G446</f>
        <v>30449.23</v>
      </c>
      <c r="H453" s="126">
        <f>SUM(H446)</f>
        <v>0</v>
      </c>
      <c r="I453" s="201"/>
      <c r="J453" s="1403"/>
      <c r="K453" s="201"/>
      <c r="L453" s="201"/>
      <c r="M453" s="201"/>
      <c r="N453" s="1406"/>
    </row>
    <row r="454" spans="1:13" ht="15">
      <c r="A454" s="1407" t="s">
        <v>735</v>
      </c>
      <c r="B454" s="1408"/>
      <c r="C454" s="1408"/>
      <c r="D454" s="1409">
        <f>SUM(D451,D452,D453)</f>
        <v>2055540.9400000002</v>
      </c>
      <c r="E454" s="1410">
        <f>SUM(E451,E452,E453)</f>
        <v>1561609.44</v>
      </c>
      <c r="F454" s="1411">
        <f>F451+F452+F453</f>
        <v>2256953</v>
      </c>
      <c r="G454" s="1412">
        <f>G451+G452+G453</f>
        <v>1492453</v>
      </c>
      <c r="H454" s="1413">
        <f>SUM(H451,H452,H453)</f>
        <v>1336369</v>
      </c>
      <c r="I454" s="201"/>
      <c r="J454" s="1403"/>
      <c r="K454" s="201"/>
      <c r="L454" s="201"/>
      <c r="M454" s="201"/>
    </row>
    <row r="455" spans="1:10" ht="14.25">
      <c r="A455" s="1414"/>
      <c r="B455" s="1415"/>
      <c r="C455" s="1415"/>
      <c r="D455" s="934"/>
      <c r="F455" s="338"/>
      <c r="G455" s="338"/>
      <c r="H455" s="147"/>
      <c r="J455" s="1416"/>
    </row>
    <row r="456" spans="1:14" ht="14.25">
      <c r="A456" s="1417" t="s">
        <v>1</v>
      </c>
      <c r="B456" s="1418"/>
      <c r="C456" s="1418"/>
      <c r="D456" s="1419">
        <v>1291907</v>
      </c>
      <c r="E456" s="1420">
        <f>príjmy!K168</f>
        <v>1434963.77</v>
      </c>
      <c r="F456" s="1421">
        <f>príjmy!L168</f>
        <v>1518953</v>
      </c>
      <c r="G456" s="1422">
        <f>príjmy!M168</f>
        <v>1492453</v>
      </c>
      <c r="H456" s="1423">
        <f>SUM(príjmy!N90)</f>
        <v>1486160</v>
      </c>
      <c r="I456" s="238"/>
      <c r="J456" s="181"/>
      <c r="K456" s="201"/>
      <c r="L456" s="201"/>
      <c r="M456" s="201"/>
      <c r="N456" s="399"/>
    </row>
    <row r="457" spans="1:14" ht="14.25">
      <c r="A457" s="1401" t="s">
        <v>83</v>
      </c>
      <c r="B457" s="1402"/>
      <c r="C457" s="1402"/>
      <c r="D457" s="281">
        <v>720865</v>
      </c>
      <c r="E457" s="322">
        <f>príjmy!K169</f>
        <v>126645.67</v>
      </c>
      <c r="F457" s="124">
        <f>príjmy!L169</f>
        <v>738000</v>
      </c>
      <c r="G457" s="125">
        <f>príjmy!M169</f>
        <v>0</v>
      </c>
      <c r="H457" s="126">
        <f>SUM(príjmy!N121)</f>
        <v>0</v>
      </c>
      <c r="I457" s="238"/>
      <c r="J457" s="181"/>
      <c r="K457" s="201"/>
      <c r="L457" s="201"/>
      <c r="M457" s="201"/>
      <c r="N457" s="934"/>
    </row>
    <row r="458" spans="1:14" ht="14.25">
      <c r="A458" s="1401" t="s">
        <v>94</v>
      </c>
      <c r="B458" s="1402"/>
      <c r="C458" s="1402"/>
      <c r="D458" s="333">
        <v>246629</v>
      </c>
      <c r="E458" s="330">
        <f>príjmy!K170</f>
        <v>0</v>
      </c>
      <c r="F458" s="124">
        <f>príjmy!L170</f>
        <v>0</v>
      </c>
      <c r="G458" s="125">
        <f>príjmy!M170</f>
        <v>0</v>
      </c>
      <c r="H458" s="126">
        <f>SUM(príjmy!N148)</f>
        <v>0</v>
      </c>
      <c r="I458" s="238"/>
      <c r="J458" s="181"/>
      <c r="K458" s="201"/>
      <c r="L458" s="201"/>
      <c r="M458" s="201"/>
      <c r="N458" s="400"/>
    </row>
    <row r="459" spans="1:13" ht="14.25">
      <c r="A459" s="1401" t="s">
        <v>194</v>
      </c>
      <c r="B459" s="1402"/>
      <c r="C459" s="1402"/>
      <c r="D459" s="401">
        <f>príjmy!I171</f>
        <v>0</v>
      </c>
      <c r="E459" s="1405">
        <f>príjmy!K171</f>
        <v>0</v>
      </c>
      <c r="F459" s="124">
        <f>príjmy!L171</f>
        <v>0</v>
      </c>
      <c r="G459" s="125">
        <f>príjmy!M171</f>
        <v>0</v>
      </c>
      <c r="H459" s="126">
        <f>SUM(príjmy!N159)</f>
        <v>0</v>
      </c>
      <c r="I459" s="238"/>
      <c r="J459" s="181"/>
      <c r="K459" s="201"/>
      <c r="L459" s="201"/>
      <c r="M459" s="201"/>
    </row>
    <row r="460" spans="1:13" ht="15">
      <c r="A460" s="1407" t="s">
        <v>199</v>
      </c>
      <c r="B460" s="1408"/>
      <c r="C460" s="1408"/>
      <c r="D460" s="406">
        <f>SUM(D456,D457,D458,D459)</f>
        <v>2259401</v>
      </c>
      <c r="E460" s="1424">
        <f>SUM(E456,E457,E458,E459)</f>
        <v>1561609.44</v>
      </c>
      <c r="F460" s="1411">
        <f>F456+F457+F458+F459</f>
        <v>2256953</v>
      </c>
      <c r="G460" s="1412">
        <f>G456+G457+G458+G459</f>
        <v>1492453</v>
      </c>
      <c r="H460" s="1413">
        <f>SUM(H456,H457,H458,H459)</f>
        <v>1486160</v>
      </c>
      <c r="I460" s="238"/>
      <c r="J460" s="181"/>
      <c r="K460" s="201"/>
      <c r="L460" s="201"/>
      <c r="M460" s="201"/>
    </row>
    <row r="462" ht="12.75">
      <c r="M462" s="255"/>
    </row>
  </sheetData>
  <mergeCells count="13">
    <mergeCell ref="A402:C402"/>
    <mergeCell ref="G242:H242"/>
    <mergeCell ref="E259:H259"/>
    <mergeCell ref="F314:H314"/>
    <mergeCell ref="F355:H355"/>
    <mergeCell ref="G105:H105"/>
    <mergeCell ref="E151:H151"/>
    <mergeCell ref="F194:H194"/>
    <mergeCell ref="F225:H225"/>
    <mergeCell ref="A1:H1"/>
    <mergeCell ref="F4:H4"/>
    <mergeCell ref="A5:E5"/>
    <mergeCell ref="G95:H95"/>
  </mergeCells>
  <printOptions/>
  <pageMargins left="0.7875" right="0.19652777777777777" top="0.39375000000000004" bottom="0.39375000000000004" header="0.11805555555555557" footer="0.11805555555555557"/>
  <pageSetup horizontalDpi="300" verticalDpi="300" orientation="portrait" paperSize="9" scale="90" r:id="rId1"/>
  <headerFooter alignWithMargins="0">
    <oddHeader>&amp;CROZPOČET OBCE TEKOVSKÉ LUŽANY NA ROK 2014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72"/>
  <sheetViews>
    <sheetView tabSelected="1" workbookViewId="0" topLeftCell="A1">
      <selection activeCell="L116" sqref="L116"/>
    </sheetView>
  </sheetViews>
  <sheetFormatPr defaultColWidth="9.140625" defaultRowHeight="12.75"/>
  <cols>
    <col min="1" max="1" width="8.57421875" style="47" customWidth="1"/>
    <col min="2" max="2" width="7.00390625" style="47" customWidth="1"/>
    <col min="3" max="3" width="32.421875" style="47" customWidth="1"/>
    <col min="4" max="6" width="0" style="47" hidden="1" customWidth="1"/>
    <col min="7" max="7" width="0" style="48" hidden="1" customWidth="1"/>
    <col min="8" max="9" width="0" style="47" hidden="1" customWidth="1"/>
    <col min="10" max="10" width="9.8515625" style="47" customWidth="1"/>
    <col min="11" max="11" width="9.8515625" style="49" customWidth="1"/>
    <col min="12" max="13" width="9.8515625" style="47" customWidth="1"/>
    <col min="14" max="14" width="9.8515625" style="50" customWidth="1"/>
    <col min="15" max="15" width="11.00390625" style="51" customWidth="1"/>
    <col min="16" max="17" width="10.00390625" style="51" customWidth="1"/>
    <col min="18" max="18" width="9.7109375" style="52" customWidth="1"/>
    <col min="19" max="19" width="18.140625" style="47" customWidth="1"/>
    <col min="20" max="16384" width="9.00390625" style="47" customWidth="1"/>
  </cols>
  <sheetData>
    <row r="2" spans="1:18" ht="15.75">
      <c r="A2" s="1462" t="s">
        <v>99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53"/>
      <c r="P2" s="53"/>
      <c r="Q2" s="53"/>
      <c r="R2" s="53"/>
    </row>
    <row r="4" ht="15.75">
      <c r="C4" s="54" t="s">
        <v>1</v>
      </c>
    </row>
    <row r="5" spans="1:18" ht="15.75">
      <c r="A5" s="1463"/>
      <c r="B5" s="1463"/>
      <c r="C5" s="1463"/>
      <c r="D5" s="1463"/>
      <c r="E5" s="1463"/>
      <c r="F5" s="56"/>
      <c r="G5" s="56"/>
      <c r="H5" s="48"/>
      <c r="I5" s="48"/>
      <c r="J5" s="48"/>
      <c r="K5" s="1464" t="s">
        <v>100</v>
      </c>
      <c r="L5" s="1464"/>
      <c r="M5" s="1464"/>
      <c r="N5" s="1464"/>
      <c r="O5" s="57"/>
      <c r="P5" s="57"/>
      <c r="Q5" s="57"/>
      <c r="R5" s="57"/>
    </row>
    <row r="6" spans="1:18" ht="15.75">
      <c r="A6" s="55"/>
      <c r="B6" s="55"/>
      <c r="C6" s="55"/>
      <c r="D6" s="55"/>
      <c r="E6" s="55"/>
      <c r="F6" s="56"/>
      <c r="G6" s="56"/>
      <c r="H6" s="48"/>
      <c r="I6" s="48"/>
      <c r="J6" s="48"/>
      <c r="K6" s="58"/>
      <c r="L6" s="58"/>
      <c r="M6" s="58"/>
      <c r="N6" s="59"/>
      <c r="O6" s="58"/>
      <c r="P6" s="58"/>
      <c r="Q6" s="58"/>
      <c r="R6" s="60"/>
    </row>
    <row r="8" spans="1:18" s="51" customFormat="1" ht="39.75" customHeight="1">
      <c r="A8" s="61" t="s">
        <v>1</v>
      </c>
      <c r="B8" s="62"/>
      <c r="C8" s="63"/>
      <c r="D8" s="64"/>
      <c r="E8" s="65"/>
      <c r="F8" s="64"/>
      <c r="G8" s="65"/>
      <c r="H8" s="64"/>
      <c r="I8" s="65"/>
      <c r="J8" s="66">
        <v>2012</v>
      </c>
      <c r="K8" s="67">
        <v>2013</v>
      </c>
      <c r="L8" s="68">
        <v>2014</v>
      </c>
      <c r="M8" s="69">
        <v>2015</v>
      </c>
      <c r="N8" s="70">
        <v>2016</v>
      </c>
      <c r="O8" s="71"/>
      <c r="P8" s="71"/>
      <c r="Q8" s="71"/>
      <c r="R8" s="72"/>
    </row>
    <row r="9" spans="1:18" s="85" customFormat="1" ht="12.75">
      <c r="A9" s="73" t="s">
        <v>101</v>
      </c>
      <c r="B9" s="74"/>
      <c r="C9" s="75"/>
      <c r="D9" s="76"/>
      <c r="E9" s="77"/>
      <c r="F9" s="76"/>
      <c r="G9" s="77"/>
      <c r="H9" s="76"/>
      <c r="I9" s="77"/>
      <c r="J9" s="78">
        <f>SUM(J10,J11)</f>
        <v>643981</v>
      </c>
      <c r="K9" s="79">
        <f>K10+K11</f>
        <v>716233</v>
      </c>
      <c r="L9" s="80">
        <f>SUM(L10,L11)</f>
        <v>766192</v>
      </c>
      <c r="M9" s="81">
        <f>SUM(M10,M11)</f>
        <v>816192</v>
      </c>
      <c r="N9" s="82">
        <f>SUM(N10,N11)</f>
        <v>816192</v>
      </c>
      <c r="O9" s="83"/>
      <c r="P9" s="83"/>
      <c r="Q9" s="83"/>
      <c r="R9" s="84"/>
    </row>
    <row r="10" spans="1:19" s="51" customFormat="1" ht="12.75">
      <c r="A10" s="86">
        <v>111</v>
      </c>
      <c r="B10" s="87" t="s">
        <v>102</v>
      </c>
      <c r="C10" s="88" t="s">
        <v>103</v>
      </c>
      <c r="D10" s="89"/>
      <c r="E10" s="90"/>
      <c r="F10" s="89"/>
      <c r="G10" s="89"/>
      <c r="H10" s="89"/>
      <c r="I10" s="89"/>
      <c r="J10" s="91">
        <v>497500</v>
      </c>
      <c r="K10" s="92">
        <v>550000</v>
      </c>
      <c r="L10" s="93">
        <v>600000</v>
      </c>
      <c r="M10" s="94">
        <v>650000</v>
      </c>
      <c r="N10" s="95">
        <v>650000</v>
      </c>
      <c r="O10" s="96"/>
      <c r="P10" s="96"/>
      <c r="Q10" s="96"/>
      <c r="R10" s="97"/>
      <c r="S10" s="98"/>
    </row>
    <row r="11" spans="1:18" s="51" customFormat="1" ht="12.75">
      <c r="A11" s="86">
        <v>121</v>
      </c>
      <c r="B11" s="87"/>
      <c r="C11" s="88" t="s">
        <v>7</v>
      </c>
      <c r="D11" s="89"/>
      <c r="E11" s="90"/>
      <c r="F11" s="89"/>
      <c r="G11" s="89"/>
      <c r="H11" s="89"/>
      <c r="I11" s="89"/>
      <c r="J11" s="91">
        <f>SUM(J12,J14,J16)</f>
        <v>146481</v>
      </c>
      <c r="K11" s="92">
        <f>K12+K14+K16</f>
        <v>166233</v>
      </c>
      <c r="L11" s="99">
        <f>L12+L14+L16</f>
        <v>166192</v>
      </c>
      <c r="M11" s="100">
        <f>M12+M14+M16</f>
        <v>166192</v>
      </c>
      <c r="N11" s="101">
        <f>N12+N14+N16</f>
        <v>166192</v>
      </c>
      <c r="O11" s="96"/>
      <c r="P11" s="96"/>
      <c r="Q11" s="96"/>
      <c r="R11" s="97"/>
    </row>
    <row r="12" spans="1:18" s="51" customFormat="1" ht="12.75">
      <c r="A12" s="102">
        <v>121</v>
      </c>
      <c r="B12" s="103" t="s">
        <v>104</v>
      </c>
      <c r="C12" s="104" t="s">
        <v>105</v>
      </c>
      <c r="D12" s="105"/>
      <c r="E12" s="105"/>
      <c r="F12" s="105"/>
      <c r="G12" s="106"/>
      <c r="H12" s="105"/>
      <c r="I12" s="105"/>
      <c r="J12" s="107">
        <v>122722</v>
      </c>
      <c r="K12" s="108">
        <v>139422</v>
      </c>
      <c r="L12" s="109">
        <v>139422</v>
      </c>
      <c r="M12" s="110">
        <v>139422</v>
      </c>
      <c r="N12" s="111">
        <v>139422</v>
      </c>
      <c r="O12" s="112"/>
      <c r="P12" s="112"/>
      <c r="Q12" s="112"/>
      <c r="R12" s="113"/>
    </row>
    <row r="13" spans="1:18" ht="12.75">
      <c r="A13" s="102">
        <v>121</v>
      </c>
      <c r="B13" s="103" t="s">
        <v>104</v>
      </c>
      <c r="C13" s="104" t="s">
        <v>106</v>
      </c>
      <c r="D13" s="105"/>
      <c r="E13" s="105"/>
      <c r="F13" s="105"/>
      <c r="G13" s="106"/>
      <c r="H13" s="105"/>
      <c r="I13" s="105"/>
      <c r="J13" s="114">
        <v>17000</v>
      </c>
      <c r="K13" s="115">
        <v>5000</v>
      </c>
      <c r="L13" s="116">
        <v>10000</v>
      </c>
      <c r="M13" s="117">
        <v>10000</v>
      </c>
      <c r="N13" s="118">
        <v>10000</v>
      </c>
      <c r="O13" s="119"/>
      <c r="P13" s="119"/>
      <c r="Q13" s="119"/>
      <c r="R13" s="119"/>
    </row>
    <row r="14" spans="1:18" ht="12.75">
      <c r="A14" s="102">
        <v>121</v>
      </c>
      <c r="B14" s="103" t="s">
        <v>107</v>
      </c>
      <c r="C14" s="104" t="s">
        <v>108</v>
      </c>
      <c r="D14" s="120"/>
      <c r="E14" s="121"/>
      <c r="F14" s="120"/>
      <c r="G14" s="122"/>
      <c r="H14" s="121"/>
      <c r="I14" s="121"/>
      <c r="J14" s="107">
        <v>23500</v>
      </c>
      <c r="K14" s="123">
        <v>26511</v>
      </c>
      <c r="L14" s="124">
        <v>26511</v>
      </c>
      <c r="M14" s="125">
        <v>26511</v>
      </c>
      <c r="N14" s="126">
        <v>26511</v>
      </c>
      <c r="O14" s="112"/>
      <c r="P14" s="112"/>
      <c r="Q14" s="112"/>
      <c r="R14" s="113"/>
    </row>
    <row r="15" spans="1:18" ht="12.75">
      <c r="A15" s="102">
        <v>121</v>
      </c>
      <c r="B15" s="103" t="s">
        <v>107</v>
      </c>
      <c r="C15" s="104" t="s">
        <v>109</v>
      </c>
      <c r="D15" s="120"/>
      <c r="E15" s="121"/>
      <c r="F15" s="120"/>
      <c r="G15" s="122"/>
      <c r="H15" s="121"/>
      <c r="I15" s="121"/>
      <c r="J15" s="114">
        <v>3000</v>
      </c>
      <c r="K15" s="127">
        <v>2500</v>
      </c>
      <c r="L15" s="128">
        <v>3000</v>
      </c>
      <c r="M15" s="129">
        <v>3000</v>
      </c>
      <c r="N15" s="130">
        <v>3000</v>
      </c>
      <c r="O15" s="119"/>
      <c r="P15" s="119"/>
      <c r="Q15" s="119"/>
      <c r="R15" s="119"/>
    </row>
    <row r="16" spans="1:19" ht="12.75">
      <c r="A16" s="131">
        <v>121</v>
      </c>
      <c r="B16" s="132" t="s">
        <v>102</v>
      </c>
      <c r="C16" s="133" t="s">
        <v>110</v>
      </c>
      <c r="D16" s="134"/>
      <c r="E16" s="135"/>
      <c r="F16" s="134"/>
      <c r="G16" s="136"/>
      <c r="H16" s="135"/>
      <c r="I16" s="135"/>
      <c r="J16" s="137">
        <v>259</v>
      </c>
      <c r="K16" s="138">
        <v>300</v>
      </c>
      <c r="L16" s="139">
        <v>259</v>
      </c>
      <c r="M16" s="140">
        <v>259</v>
      </c>
      <c r="N16" s="141">
        <v>259</v>
      </c>
      <c r="O16" s="112"/>
      <c r="P16" s="112"/>
      <c r="Q16" s="112"/>
      <c r="R16" s="113"/>
      <c r="S16" s="142"/>
    </row>
    <row r="17" spans="1:18" ht="12.75">
      <c r="A17" s="143"/>
      <c r="B17" s="143"/>
      <c r="C17" s="143"/>
      <c r="D17" s="144"/>
      <c r="E17" s="145"/>
      <c r="F17" s="144"/>
      <c r="G17" s="146"/>
      <c r="H17" s="145"/>
      <c r="I17" s="145"/>
      <c r="J17" s="147"/>
      <c r="K17" s="147"/>
      <c r="L17" s="145"/>
      <c r="M17" s="148"/>
      <c r="N17" s="148"/>
      <c r="O17" s="113"/>
      <c r="P17" s="113"/>
      <c r="Q17" s="113"/>
      <c r="R17" s="113"/>
    </row>
    <row r="18" spans="1:18" s="160" customFormat="1" ht="12.75">
      <c r="A18" s="149" t="s">
        <v>111</v>
      </c>
      <c r="B18" s="150"/>
      <c r="C18" s="151"/>
      <c r="D18" s="152"/>
      <c r="E18" s="153"/>
      <c r="F18" s="152"/>
      <c r="G18" s="153"/>
      <c r="H18" s="152"/>
      <c r="I18" s="153"/>
      <c r="J18" s="154">
        <f>SUM(J19,J21,J22,J23,J25)</f>
        <v>77045.92</v>
      </c>
      <c r="K18" s="155">
        <f>K19+K21+K22+K23+K25</f>
        <v>65561</v>
      </c>
      <c r="L18" s="156">
        <f>SUM(L19,L21,L22,L23,L25)</f>
        <v>65561</v>
      </c>
      <c r="M18" s="157">
        <f>SUM(M19,M21,M22,M23,M25)</f>
        <v>65561</v>
      </c>
      <c r="N18" s="158">
        <f>SUM(N19,N21,N22,N23,N25)</f>
        <v>65561</v>
      </c>
      <c r="O18" s="159"/>
      <c r="P18" s="159"/>
      <c r="Q18" s="159"/>
      <c r="R18" s="159"/>
    </row>
    <row r="19" spans="1:18" ht="12.75">
      <c r="A19" s="86">
        <v>133</v>
      </c>
      <c r="B19" s="87" t="s">
        <v>104</v>
      </c>
      <c r="C19" s="88" t="s">
        <v>13</v>
      </c>
      <c r="D19" s="121"/>
      <c r="E19" s="121"/>
      <c r="F19" s="121"/>
      <c r="G19" s="161"/>
      <c r="H19" s="121"/>
      <c r="I19" s="121"/>
      <c r="J19" s="162">
        <v>2450</v>
      </c>
      <c r="K19" s="123">
        <v>2750</v>
      </c>
      <c r="L19" s="124">
        <v>2750</v>
      </c>
      <c r="M19" s="125">
        <v>2750</v>
      </c>
      <c r="N19" s="126">
        <v>2750</v>
      </c>
      <c r="O19" s="112"/>
      <c r="P19" s="112"/>
      <c r="Q19" s="112"/>
      <c r="R19" s="113"/>
    </row>
    <row r="20" spans="1:18" ht="12.75">
      <c r="A20" s="86">
        <v>133</v>
      </c>
      <c r="B20" s="87" t="s">
        <v>104</v>
      </c>
      <c r="C20" s="88" t="s">
        <v>112</v>
      </c>
      <c r="D20" s="121"/>
      <c r="E20" s="121"/>
      <c r="F20" s="121"/>
      <c r="G20" s="161"/>
      <c r="H20" s="121"/>
      <c r="I20" s="121"/>
      <c r="J20" s="163">
        <v>250</v>
      </c>
      <c r="K20" s="127">
        <v>250</v>
      </c>
      <c r="L20" s="128">
        <v>250</v>
      </c>
      <c r="M20" s="129">
        <v>250</v>
      </c>
      <c r="N20" s="130">
        <v>250</v>
      </c>
      <c r="O20" s="119"/>
      <c r="P20" s="119"/>
      <c r="Q20" s="119"/>
      <c r="R20" s="119"/>
    </row>
    <row r="21" spans="1:18" ht="12.75">
      <c r="A21" s="102">
        <v>133</v>
      </c>
      <c r="B21" s="87" t="s">
        <v>102</v>
      </c>
      <c r="C21" s="88" t="s">
        <v>16</v>
      </c>
      <c r="D21" s="121"/>
      <c r="E21" s="121"/>
      <c r="F21" s="121"/>
      <c r="G21" s="161"/>
      <c r="H21" s="121"/>
      <c r="I21" s="121"/>
      <c r="J21" s="162">
        <v>0</v>
      </c>
      <c r="K21" s="123">
        <v>0</v>
      </c>
      <c r="L21" s="124">
        <v>0</v>
      </c>
      <c r="M21" s="125">
        <v>0</v>
      </c>
      <c r="N21" s="126">
        <v>0</v>
      </c>
      <c r="O21" s="112"/>
      <c r="P21" s="112"/>
      <c r="Q21" s="112"/>
      <c r="R21" s="113"/>
    </row>
    <row r="22" spans="1:18" ht="12.75">
      <c r="A22" s="102">
        <v>133</v>
      </c>
      <c r="B22" s="87" t="s">
        <v>113</v>
      </c>
      <c r="C22" s="88" t="s">
        <v>10</v>
      </c>
      <c r="D22" s="121"/>
      <c r="E22" s="121"/>
      <c r="F22" s="121"/>
      <c r="G22" s="161"/>
      <c r="H22" s="121"/>
      <c r="I22" s="121"/>
      <c r="J22" s="162">
        <v>1450</v>
      </c>
      <c r="K22" s="123">
        <v>1450</v>
      </c>
      <c r="L22" s="124">
        <v>1450</v>
      </c>
      <c r="M22" s="125">
        <v>1450</v>
      </c>
      <c r="N22" s="126">
        <v>1450</v>
      </c>
      <c r="O22" s="112"/>
      <c r="P22" s="112"/>
      <c r="Q22" s="112"/>
      <c r="R22" s="113"/>
    </row>
    <row r="23" spans="1:19" ht="12.75">
      <c r="A23" s="102">
        <v>133</v>
      </c>
      <c r="B23" s="87" t="s">
        <v>114</v>
      </c>
      <c r="C23" s="88" t="s">
        <v>115</v>
      </c>
      <c r="D23" s="121"/>
      <c r="E23" s="121"/>
      <c r="F23" s="121"/>
      <c r="G23" s="161"/>
      <c r="H23" s="121"/>
      <c r="I23" s="121"/>
      <c r="J23" s="162">
        <v>35000</v>
      </c>
      <c r="K23" s="123">
        <v>35000</v>
      </c>
      <c r="L23" s="124">
        <v>35000</v>
      </c>
      <c r="M23" s="125">
        <v>35000</v>
      </c>
      <c r="N23" s="126">
        <v>35000</v>
      </c>
      <c r="O23" s="112"/>
      <c r="P23" s="112"/>
      <c r="Q23" s="112"/>
      <c r="R23" s="113"/>
      <c r="S23" s="164"/>
    </row>
    <row r="24" spans="1:18" ht="12.75">
      <c r="A24" s="102">
        <v>133</v>
      </c>
      <c r="B24" s="87" t="s">
        <v>114</v>
      </c>
      <c r="C24" s="88" t="s">
        <v>116</v>
      </c>
      <c r="D24" s="121"/>
      <c r="E24" s="121"/>
      <c r="F24" s="121"/>
      <c r="G24" s="161"/>
      <c r="H24" s="121"/>
      <c r="I24" s="121"/>
      <c r="J24" s="162">
        <v>4000</v>
      </c>
      <c r="K24" s="127">
        <v>4500</v>
      </c>
      <c r="L24" s="128">
        <v>4000</v>
      </c>
      <c r="M24" s="129">
        <v>4000</v>
      </c>
      <c r="N24" s="130">
        <v>4000</v>
      </c>
      <c r="O24" s="119"/>
      <c r="P24" s="119"/>
      <c r="Q24" s="119"/>
      <c r="R24" s="113"/>
    </row>
    <row r="25" spans="1:19" ht="12.75">
      <c r="A25" s="165">
        <v>133</v>
      </c>
      <c r="B25" s="166" t="s">
        <v>117</v>
      </c>
      <c r="C25" s="167" t="s">
        <v>118</v>
      </c>
      <c r="D25" s="105"/>
      <c r="E25" s="105"/>
      <c r="F25" s="105"/>
      <c r="G25" s="106"/>
      <c r="H25" s="105"/>
      <c r="I25" s="105"/>
      <c r="J25" s="162">
        <v>38145.92</v>
      </c>
      <c r="K25" s="168">
        <v>26361</v>
      </c>
      <c r="L25" s="109">
        <v>26361</v>
      </c>
      <c r="M25" s="169">
        <v>26361</v>
      </c>
      <c r="N25" s="170">
        <v>26361</v>
      </c>
      <c r="O25" s="112"/>
      <c r="P25" s="112"/>
      <c r="Q25" s="112"/>
      <c r="R25" s="113"/>
      <c r="S25" s="142"/>
    </row>
    <row r="26" spans="1:18" ht="12.75">
      <c r="A26" s="1465" t="s">
        <v>119</v>
      </c>
      <c r="B26" s="1465"/>
      <c r="C26" s="1465"/>
      <c r="D26" s="171"/>
      <c r="E26" s="172"/>
      <c r="F26" s="171"/>
      <c r="G26" s="172"/>
      <c r="H26" s="171"/>
      <c r="I26" s="172"/>
      <c r="J26" s="173">
        <f>SUM(J9,J18)</f>
        <v>721026.92</v>
      </c>
      <c r="K26" s="174">
        <f>K9+K18</f>
        <v>781794</v>
      </c>
      <c r="L26" s="175">
        <f>SUM(L9,L18)</f>
        <v>831753</v>
      </c>
      <c r="M26" s="176">
        <f>SUM(M9,M18)</f>
        <v>881753</v>
      </c>
      <c r="N26" s="177">
        <f>SUM(N9,N18)</f>
        <v>881753</v>
      </c>
      <c r="O26" s="159"/>
      <c r="P26" s="159"/>
      <c r="Q26" s="159"/>
      <c r="R26" s="159"/>
    </row>
    <row r="27" spans="1:18" ht="12.75">
      <c r="A27" s="143"/>
      <c r="B27" s="178"/>
      <c r="C27" s="178"/>
      <c r="D27" s="179"/>
      <c r="E27" s="148"/>
      <c r="F27" s="179"/>
      <c r="G27" s="179"/>
      <c r="H27" s="148"/>
      <c r="I27" s="148"/>
      <c r="J27" s="148"/>
      <c r="K27" s="180"/>
      <c r="L27" s="180"/>
      <c r="M27" s="180"/>
      <c r="N27" s="145"/>
      <c r="O27" s="181"/>
      <c r="P27" s="181"/>
      <c r="Q27" s="181"/>
      <c r="R27" s="113"/>
    </row>
    <row r="28" spans="1:18" ht="12.75">
      <c r="A28" s="143"/>
      <c r="B28" s="178"/>
      <c r="C28" s="178"/>
      <c r="D28" s="179"/>
      <c r="E28" s="148"/>
      <c r="F28" s="179"/>
      <c r="G28" s="179"/>
      <c r="H28" s="148"/>
      <c r="I28" s="148"/>
      <c r="J28" s="148"/>
      <c r="K28" s="180"/>
      <c r="L28" s="180"/>
      <c r="M28" s="180"/>
      <c r="N28" s="145"/>
      <c r="O28" s="181"/>
      <c r="P28" s="181"/>
      <c r="Q28" s="181"/>
      <c r="R28" s="113"/>
    </row>
    <row r="29" spans="1:18" ht="15.75">
      <c r="A29" s="143"/>
      <c r="B29" s="178"/>
      <c r="C29" s="178"/>
      <c r="D29" s="179"/>
      <c r="E29" s="148"/>
      <c r="F29" s="179"/>
      <c r="G29" s="179"/>
      <c r="H29" s="148"/>
      <c r="I29" s="148"/>
      <c r="J29" s="148"/>
      <c r="K29" s="1464" t="s">
        <v>120</v>
      </c>
      <c r="L29" s="1464"/>
      <c r="M29" s="1464"/>
      <c r="N29" s="1464"/>
      <c r="O29" s="57"/>
      <c r="P29" s="57"/>
      <c r="Q29" s="57"/>
      <c r="R29" s="57"/>
    </row>
    <row r="30" spans="1:18" ht="15.75">
      <c r="A30" s="143"/>
      <c r="B30" s="178"/>
      <c r="C30" s="178"/>
      <c r="D30" s="179"/>
      <c r="E30" s="148"/>
      <c r="F30" s="179"/>
      <c r="G30" s="179"/>
      <c r="H30" s="148"/>
      <c r="I30" s="148"/>
      <c r="J30" s="148"/>
      <c r="K30" s="58"/>
      <c r="L30" s="58"/>
      <c r="M30" s="58"/>
      <c r="N30" s="59"/>
      <c r="O30" s="58"/>
      <c r="P30" s="58"/>
      <c r="Q30" s="58"/>
      <c r="R30" s="60"/>
    </row>
    <row r="31" spans="1:18" s="51" customFormat="1" ht="15.75">
      <c r="A31" s="61" t="s">
        <v>1</v>
      </c>
      <c r="B31" s="62"/>
      <c r="C31" s="63"/>
      <c r="D31" s="64"/>
      <c r="E31" s="65"/>
      <c r="F31" s="64"/>
      <c r="G31" s="65"/>
      <c r="H31" s="64"/>
      <c r="I31" s="65"/>
      <c r="J31" s="66">
        <v>2012</v>
      </c>
      <c r="K31" s="67">
        <v>2013</v>
      </c>
      <c r="L31" s="68">
        <v>2014</v>
      </c>
      <c r="M31" s="69">
        <v>2015</v>
      </c>
      <c r="N31" s="70">
        <v>2016</v>
      </c>
      <c r="O31" s="182"/>
      <c r="P31" s="182"/>
      <c r="Q31" s="182"/>
      <c r="R31" s="183"/>
    </row>
    <row r="32" spans="1:18" s="85" customFormat="1" ht="12.75">
      <c r="A32" s="184" t="s">
        <v>121</v>
      </c>
      <c r="B32" s="185"/>
      <c r="C32" s="186"/>
      <c r="D32" s="187"/>
      <c r="E32" s="188"/>
      <c r="F32" s="187"/>
      <c r="G32" s="188"/>
      <c r="H32" s="187"/>
      <c r="I32" s="188"/>
      <c r="J32" s="188">
        <f>SUM(J33,J34,J35,J36,J37)</f>
        <v>37000</v>
      </c>
      <c r="K32" s="189">
        <f>K33+K34+K35+K36+K37</f>
        <v>37000</v>
      </c>
      <c r="L32" s="190">
        <f>L33+L34+L35+L36+L37</f>
        <v>40000</v>
      </c>
      <c r="M32" s="191">
        <f>M33+M34+M35+M36+M37</f>
        <v>40000</v>
      </c>
      <c r="N32" s="192">
        <f>N33+N34+N35+N36+N37</f>
        <v>40000</v>
      </c>
      <c r="O32" s="193"/>
      <c r="P32" s="193"/>
      <c r="Q32" s="193"/>
      <c r="R32" s="193"/>
    </row>
    <row r="33" spans="1:18" ht="12.75">
      <c r="A33" s="102">
        <v>211</v>
      </c>
      <c r="B33" s="87" t="s">
        <v>102</v>
      </c>
      <c r="C33" s="88" t="s">
        <v>122</v>
      </c>
      <c r="D33" s="90"/>
      <c r="E33" s="121"/>
      <c r="F33" s="90"/>
      <c r="G33" s="89"/>
      <c r="H33" s="121"/>
      <c r="I33" s="121"/>
      <c r="J33" s="194">
        <v>0</v>
      </c>
      <c r="K33" s="123">
        <v>0</v>
      </c>
      <c r="L33" s="124">
        <v>0</v>
      </c>
      <c r="M33" s="125">
        <v>0</v>
      </c>
      <c r="N33" s="126">
        <v>0</v>
      </c>
      <c r="O33" s="112"/>
      <c r="P33" s="112"/>
      <c r="Q33" s="112"/>
      <c r="R33" s="112"/>
    </row>
    <row r="34" spans="1:18" ht="12.75">
      <c r="A34" s="102">
        <v>212</v>
      </c>
      <c r="B34" s="87" t="s">
        <v>107</v>
      </c>
      <c r="C34" s="88" t="s">
        <v>26</v>
      </c>
      <c r="D34" s="90"/>
      <c r="E34" s="121"/>
      <c r="F34" s="90"/>
      <c r="G34" s="89"/>
      <c r="H34" s="121"/>
      <c r="I34" s="121"/>
      <c r="J34" s="194">
        <v>8000</v>
      </c>
      <c r="K34" s="123">
        <v>8000</v>
      </c>
      <c r="L34" s="124">
        <v>8000</v>
      </c>
      <c r="M34" s="125">
        <v>8000</v>
      </c>
      <c r="N34" s="126">
        <v>8000</v>
      </c>
      <c r="O34" s="112"/>
      <c r="P34" s="112"/>
      <c r="Q34" s="112"/>
      <c r="R34" s="112"/>
    </row>
    <row r="35" spans="1:19" ht="12.75">
      <c r="A35" s="102">
        <v>212</v>
      </c>
      <c r="B35" s="87" t="s">
        <v>102</v>
      </c>
      <c r="C35" s="88" t="s">
        <v>29</v>
      </c>
      <c r="D35" s="90"/>
      <c r="E35" s="121"/>
      <c r="F35" s="90"/>
      <c r="G35" s="89"/>
      <c r="H35" s="121"/>
      <c r="I35" s="121"/>
      <c r="J35" s="194">
        <v>17000</v>
      </c>
      <c r="K35" s="123">
        <v>17000</v>
      </c>
      <c r="L35" s="124">
        <v>17000</v>
      </c>
      <c r="M35" s="125">
        <v>17000</v>
      </c>
      <c r="N35" s="126">
        <v>17000</v>
      </c>
      <c r="O35" s="112"/>
      <c r="P35" s="112"/>
      <c r="Q35" s="112"/>
      <c r="R35" s="112"/>
      <c r="S35" s="164"/>
    </row>
    <row r="36" spans="1:18" ht="12.75">
      <c r="A36" s="102">
        <v>212</v>
      </c>
      <c r="B36" s="87" t="s">
        <v>123</v>
      </c>
      <c r="C36" s="88" t="s">
        <v>124</v>
      </c>
      <c r="D36" s="90"/>
      <c r="E36" s="121"/>
      <c r="F36" s="90"/>
      <c r="G36" s="89"/>
      <c r="H36" s="121"/>
      <c r="I36" s="121"/>
      <c r="J36" s="194">
        <v>12000</v>
      </c>
      <c r="K36" s="123">
        <v>12000</v>
      </c>
      <c r="L36" s="124">
        <v>15000</v>
      </c>
      <c r="M36" s="125">
        <v>15000</v>
      </c>
      <c r="N36" s="126">
        <v>15000</v>
      </c>
      <c r="O36" s="112"/>
      <c r="P36" s="112"/>
      <c r="Q36" s="112"/>
      <c r="R36" s="112"/>
    </row>
    <row r="37" spans="1:19" ht="12.75">
      <c r="A37" s="131">
        <v>212</v>
      </c>
      <c r="B37" s="195" t="s">
        <v>123</v>
      </c>
      <c r="C37" s="196" t="s">
        <v>125</v>
      </c>
      <c r="D37" s="197"/>
      <c r="E37" s="135"/>
      <c r="F37" s="197"/>
      <c r="G37" s="198"/>
      <c r="H37" s="135"/>
      <c r="I37" s="135"/>
      <c r="J37" s="199"/>
      <c r="K37" s="138">
        <v>0</v>
      </c>
      <c r="L37" s="139">
        <v>0</v>
      </c>
      <c r="M37" s="140">
        <v>0</v>
      </c>
      <c r="N37" s="141">
        <v>0</v>
      </c>
      <c r="O37" s="112"/>
      <c r="P37" s="112"/>
      <c r="Q37" s="112"/>
      <c r="R37" s="112"/>
      <c r="S37" s="200"/>
    </row>
    <row r="38" spans="1:18" ht="12.75">
      <c r="A38" s="143"/>
      <c r="B38" s="178"/>
      <c r="C38" s="178"/>
      <c r="D38" s="201"/>
      <c r="E38" s="145"/>
      <c r="F38" s="201"/>
      <c r="G38" s="202"/>
      <c r="H38" s="145"/>
      <c r="I38" s="145"/>
      <c r="J38" s="147"/>
      <c r="K38" s="147"/>
      <c r="L38" s="145"/>
      <c r="M38" s="145"/>
      <c r="N38" s="145"/>
      <c r="O38" s="113"/>
      <c r="P38" s="113"/>
      <c r="Q38" s="113"/>
      <c r="R38" s="113"/>
    </row>
    <row r="39" spans="1:18" s="160" customFormat="1" ht="12.75">
      <c r="A39" s="149" t="s">
        <v>126</v>
      </c>
      <c r="B39" s="150"/>
      <c r="C39" s="151"/>
      <c r="D39" s="152"/>
      <c r="E39" s="153"/>
      <c r="F39" s="152"/>
      <c r="G39" s="153"/>
      <c r="H39" s="152"/>
      <c r="I39" s="153"/>
      <c r="J39" s="153">
        <f>SUM(J40,J41,J42,J43,J44,J45,J46,J47,J48,J49)</f>
        <v>69740</v>
      </c>
      <c r="K39" s="203">
        <f>K40+K41+K42+K43+K44+K45+K46+K47+K48+K49</f>
        <v>70050</v>
      </c>
      <c r="L39" s="156">
        <f>L40+L41+L42+L43+L44+L45+L46+L47+L48+L49</f>
        <v>71800</v>
      </c>
      <c r="M39" s="157">
        <f>M40+M41+M42+M43+M44+M45+M46+M47+M48+M49</f>
        <v>71800</v>
      </c>
      <c r="N39" s="158">
        <f>N40+N41+N42+N43+N44+N45+N46+N47+N48+N49</f>
        <v>71800</v>
      </c>
      <c r="O39" s="193"/>
      <c r="P39" s="193"/>
      <c r="Q39" s="193"/>
      <c r="R39" s="193"/>
    </row>
    <row r="40" spans="1:18" ht="12.75">
      <c r="A40" s="102">
        <v>221</v>
      </c>
      <c r="B40" s="87" t="s">
        <v>123</v>
      </c>
      <c r="C40" s="88" t="s">
        <v>127</v>
      </c>
      <c r="D40" s="204"/>
      <c r="E40" s="205"/>
      <c r="F40" s="204"/>
      <c r="G40" s="206"/>
      <c r="H40" s="205"/>
      <c r="I40" s="205"/>
      <c r="J40" s="207">
        <v>19240</v>
      </c>
      <c r="K40" s="208">
        <v>20000</v>
      </c>
      <c r="L40" s="209">
        <v>20000</v>
      </c>
      <c r="M40" s="210">
        <v>20000</v>
      </c>
      <c r="N40" s="211">
        <v>20000</v>
      </c>
      <c r="O40" s="112"/>
      <c r="P40" s="112"/>
      <c r="Q40" s="112"/>
      <c r="R40" s="112"/>
    </row>
    <row r="41" spans="1:18" ht="12.75">
      <c r="A41" s="102">
        <v>222</v>
      </c>
      <c r="B41" s="87" t="s">
        <v>102</v>
      </c>
      <c r="C41" s="88" t="s">
        <v>128</v>
      </c>
      <c r="D41" s="90"/>
      <c r="E41" s="121"/>
      <c r="F41" s="90"/>
      <c r="G41" s="89"/>
      <c r="H41" s="121"/>
      <c r="I41" s="121"/>
      <c r="J41" s="207">
        <v>2500</v>
      </c>
      <c r="K41" s="123">
        <v>2000</v>
      </c>
      <c r="L41" s="124">
        <v>2000</v>
      </c>
      <c r="M41" s="125">
        <v>2000</v>
      </c>
      <c r="N41" s="126">
        <v>2000</v>
      </c>
      <c r="O41" s="112"/>
      <c r="P41" s="112"/>
      <c r="Q41" s="112"/>
      <c r="R41" s="112"/>
    </row>
    <row r="42" spans="1:18" ht="12.75">
      <c r="A42" s="102">
        <v>223</v>
      </c>
      <c r="B42" s="87" t="s">
        <v>104</v>
      </c>
      <c r="C42" s="88" t="s">
        <v>129</v>
      </c>
      <c r="D42" s="90"/>
      <c r="E42" s="121"/>
      <c r="F42" s="90"/>
      <c r="G42" s="89"/>
      <c r="H42" s="121"/>
      <c r="I42" s="121"/>
      <c r="J42" s="207">
        <v>1000</v>
      </c>
      <c r="K42" s="123">
        <v>700</v>
      </c>
      <c r="L42" s="124">
        <v>700</v>
      </c>
      <c r="M42" s="125">
        <v>700</v>
      </c>
      <c r="N42" s="126">
        <v>700</v>
      </c>
      <c r="O42" s="112"/>
      <c r="P42" s="112"/>
      <c r="Q42" s="112"/>
      <c r="R42" s="112"/>
    </row>
    <row r="43" spans="1:18" ht="12.75">
      <c r="A43" s="102">
        <v>223</v>
      </c>
      <c r="B43" s="103" t="s">
        <v>104</v>
      </c>
      <c r="C43" s="88" t="s">
        <v>43</v>
      </c>
      <c r="D43" s="90"/>
      <c r="E43" s="121"/>
      <c r="F43" s="90"/>
      <c r="G43" s="89"/>
      <c r="H43" s="121"/>
      <c r="I43" s="121"/>
      <c r="J43" s="207">
        <v>7000</v>
      </c>
      <c r="K43" s="123">
        <v>5000</v>
      </c>
      <c r="L43" s="124">
        <v>7000</v>
      </c>
      <c r="M43" s="125">
        <v>7000</v>
      </c>
      <c r="N43" s="126">
        <v>7000</v>
      </c>
      <c r="O43" s="112"/>
      <c r="P43" s="112"/>
      <c r="Q43" s="112"/>
      <c r="R43" s="112"/>
    </row>
    <row r="44" spans="1:18" ht="12.75">
      <c r="A44" s="102">
        <v>222</v>
      </c>
      <c r="B44" s="103" t="s">
        <v>102</v>
      </c>
      <c r="C44" s="88" t="s">
        <v>130</v>
      </c>
      <c r="D44" s="90"/>
      <c r="E44" s="121"/>
      <c r="F44" s="90"/>
      <c r="G44" s="89"/>
      <c r="H44" s="121"/>
      <c r="I44" s="121"/>
      <c r="J44" s="207">
        <v>0</v>
      </c>
      <c r="K44" s="123">
        <v>0</v>
      </c>
      <c r="L44" s="124">
        <v>0</v>
      </c>
      <c r="M44" s="125">
        <v>0</v>
      </c>
      <c r="N44" s="126">
        <v>0</v>
      </c>
      <c r="O44" s="112"/>
      <c r="P44" s="112"/>
      <c r="Q44" s="112"/>
      <c r="R44" s="112"/>
    </row>
    <row r="45" spans="1:20" ht="12.75">
      <c r="A45" s="102">
        <v>223</v>
      </c>
      <c r="B45" s="103" t="s">
        <v>107</v>
      </c>
      <c r="C45" s="88" t="s">
        <v>131</v>
      </c>
      <c r="D45" s="90"/>
      <c r="E45" s="121"/>
      <c r="F45" s="90"/>
      <c r="G45" s="89"/>
      <c r="H45" s="121"/>
      <c r="I45" s="121"/>
      <c r="J45" s="207">
        <v>2000</v>
      </c>
      <c r="K45" s="123">
        <v>2250</v>
      </c>
      <c r="L45" s="124">
        <v>2000</v>
      </c>
      <c r="M45" s="125">
        <v>2000</v>
      </c>
      <c r="N45" s="126">
        <v>2000</v>
      </c>
      <c r="O45" s="112"/>
      <c r="P45" s="112"/>
      <c r="Q45" s="112"/>
      <c r="R45" s="112"/>
      <c r="S45" s="212"/>
      <c r="T45" s="143"/>
    </row>
    <row r="46" spans="1:19" ht="12.75">
      <c r="A46" s="102">
        <v>223</v>
      </c>
      <c r="B46" s="103" t="s">
        <v>102</v>
      </c>
      <c r="C46" s="88" t="s">
        <v>132</v>
      </c>
      <c r="D46" s="90"/>
      <c r="E46" s="121"/>
      <c r="F46" s="90"/>
      <c r="G46" s="89"/>
      <c r="H46" s="121"/>
      <c r="I46" s="121"/>
      <c r="J46" s="207">
        <v>10000</v>
      </c>
      <c r="K46" s="123">
        <v>10000</v>
      </c>
      <c r="L46" s="124">
        <v>10000</v>
      </c>
      <c r="M46" s="125">
        <v>10000</v>
      </c>
      <c r="N46" s="126">
        <v>10000</v>
      </c>
      <c r="O46" s="112"/>
      <c r="P46" s="112"/>
      <c r="Q46" s="112"/>
      <c r="R46" s="112"/>
      <c r="S46" s="213"/>
    </row>
    <row r="47" spans="1:18" ht="12.75">
      <c r="A47" s="102">
        <v>223</v>
      </c>
      <c r="B47" s="103" t="s">
        <v>102</v>
      </c>
      <c r="C47" s="88" t="s">
        <v>133</v>
      </c>
      <c r="D47" s="121"/>
      <c r="E47" s="214"/>
      <c r="F47" s="121"/>
      <c r="G47" s="161"/>
      <c r="H47" s="214"/>
      <c r="I47" s="214"/>
      <c r="J47" s="207">
        <v>5000</v>
      </c>
      <c r="K47" s="123">
        <v>5000</v>
      </c>
      <c r="L47" s="124">
        <v>5000</v>
      </c>
      <c r="M47" s="125">
        <v>5000</v>
      </c>
      <c r="N47" s="126">
        <v>5000</v>
      </c>
      <c r="O47" s="112"/>
      <c r="P47" s="112"/>
      <c r="Q47" s="112"/>
      <c r="R47" s="112"/>
    </row>
    <row r="48" spans="1:18" ht="12.75">
      <c r="A48" s="102">
        <v>223</v>
      </c>
      <c r="B48" s="103" t="s">
        <v>102</v>
      </c>
      <c r="C48" s="88" t="s">
        <v>134</v>
      </c>
      <c r="D48" s="121"/>
      <c r="E48" s="121"/>
      <c r="F48" s="121"/>
      <c r="G48" s="161"/>
      <c r="H48" s="121"/>
      <c r="I48" s="121"/>
      <c r="J48" s="207">
        <v>23000</v>
      </c>
      <c r="K48" s="123">
        <v>25000</v>
      </c>
      <c r="L48" s="124">
        <v>25000</v>
      </c>
      <c r="M48" s="125">
        <v>25000</v>
      </c>
      <c r="N48" s="126">
        <v>25000</v>
      </c>
      <c r="O48" s="112"/>
      <c r="P48" s="112"/>
      <c r="Q48" s="112"/>
      <c r="R48" s="112"/>
    </row>
    <row r="49" spans="1:19" ht="12.75">
      <c r="A49" s="131">
        <v>229</v>
      </c>
      <c r="B49" s="195" t="s">
        <v>135</v>
      </c>
      <c r="C49" s="196" t="s">
        <v>136</v>
      </c>
      <c r="D49" s="135"/>
      <c r="E49" s="135"/>
      <c r="F49" s="135"/>
      <c r="G49" s="215"/>
      <c r="H49" s="135"/>
      <c r="I49" s="135"/>
      <c r="J49" s="216">
        <v>0</v>
      </c>
      <c r="K49" s="138">
        <v>100</v>
      </c>
      <c r="L49" s="139">
        <v>100</v>
      </c>
      <c r="M49" s="140">
        <v>100</v>
      </c>
      <c r="N49" s="141">
        <v>100</v>
      </c>
      <c r="O49" s="112"/>
      <c r="P49" s="112"/>
      <c r="Q49" s="112"/>
      <c r="R49" s="112"/>
      <c r="S49" s="217"/>
    </row>
    <row r="50" spans="1:18" ht="12.75">
      <c r="A50" s="143"/>
      <c r="B50" s="178"/>
      <c r="C50" s="178"/>
      <c r="D50" s="144"/>
      <c r="E50" s="145"/>
      <c r="F50" s="144"/>
      <c r="G50" s="146"/>
      <c r="H50" s="145"/>
      <c r="I50" s="145"/>
      <c r="J50" s="147"/>
      <c r="K50" s="180"/>
      <c r="L50" s="145"/>
      <c r="M50" s="145"/>
      <c r="N50" s="145"/>
      <c r="O50" s="113"/>
      <c r="P50" s="113"/>
      <c r="Q50" s="113"/>
      <c r="R50" s="113"/>
    </row>
    <row r="51" spans="1:18" s="160" customFormat="1" ht="12.75">
      <c r="A51" s="149" t="s">
        <v>137</v>
      </c>
      <c r="B51" s="150"/>
      <c r="C51" s="151"/>
      <c r="D51" s="152"/>
      <c r="E51" s="153"/>
      <c r="F51" s="152"/>
      <c r="G51" s="153"/>
      <c r="H51" s="152"/>
      <c r="I51" s="153"/>
      <c r="J51" s="157">
        <f>SUM(J52,J53,J54,J55,J56,J57)</f>
        <v>1412</v>
      </c>
      <c r="K51" s="203">
        <f>K52+K53+K54+K55+K56+K57</f>
        <v>1254</v>
      </c>
      <c r="L51" s="156">
        <f>L52+L53+L54+L55+L56+L57</f>
        <v>450</v>
      </c>
      <c r="M51" s="157">
        <f>M52+M53+M54+M55+M56+M57</f>
        <v>450</v>
      </c>
      <c r="N51" s="158">
        <f>N52+N53+N54+N55+N56+N57</f>
        <v>450</v>
      </c>
      <c r="O51" s="193"/>
      <c r="P51" s="193"/>
      <c r="Q51" s="193"/>
      <c r="R51" s="193"/>
    </row>
    <row r="52" spans="1:18" s="51" customFormat="1" ht="12.75">
      <c r="A52" s="86">
        <v>242</v>
      </c>
      <c r="B52" s="87"/>
      <c r="C52" s="88" t="s">
        <v>138</v>
      </c>
      <c r="D52" s="218"/>
      <c r="E52" s="218"/>
      <c r="F52" s="218"/>
      <c r="G52" s="219"/>
      <c r="H52" s="218"/>
      <c r="I52" s="218"/>
      <c r="J52" s="220">
        <v>150</v>
      </c>
      <c r="K52" s="221">
        <v>100</v>
      </c>
      <c r="L52" s="222">
        <v>100</v>
      </c>
      <c r="M52" s="223">
        <v>100</v>
      </c>
      <c r="N52" s="224">
        <v>100</v>
      </c>
      <c r="O52" s="112"/>
      <c r="P52" s="112"/>
      <c r="Q52" s="112"/>
      <c r="R52" s="112"/>
    </row>
    <row r="53" spans="1:18" s="51" customFormat="1" ht="12.75">
      <c r="A53" s="225">
        <v>242</v>
      </c>
      <c r="B53" s="166"/>
      <c r="C53" s="166" t="s">
        <v>139</v>
      </c>
      <c r="D53" s="90"/>
      <c r="E53" s="90"/>
      <c r="F53" s="90"/>
      <c r="G53" s="89"/>
      <c r="H53" s="90"/>
      <c r="I53" s="90"/>
      <c r="J53" s="220"/>
      <c r="K53" s="226">
        <v>12</v>
      </c>
      <c r="L53" s="124">
        <v>0</v>
      </c>
      <c r="M53" s="220">
        <v>0</v>
      </c>
      <c r="N53" s="227">
        <v>0</v>
      </c>
      <c r="O53" s="112"/>
      <c r="P53" s="112"/>
      <c r="Q53" s="112"/>
      <c r="R53" s="112"/>
    </row>
    <row r="54" spans="1:18" s="51" customFormat="1" ht="12.75">
      <c r="A54" s="225">
        <v>292</v>
      </c>
      <c r="B54" s="166" t="s">
        <v>140</v>
      </c>
      <c r="C54" s="167" t="s">
        <v>141</v>
      </c>
      <c r="D54" s="218"/>
      <c r="E54" s="218"/>
      <c r="F54" s="218"/>
      <c r="G54" s="219"/>
      <c r="H54" s="218"/>
      <c r="I54" s="218"/>
      <c r="J54" s="220"/>
      <c r="K54" s="221">
        <v>700</v>
      </c>
      <c r="L54" s="222">
        <v>0</v>
      </c>
      <c r="M54" s="223">
        <v>0</v>
      </c>
      <c r="N54" s="224">
        <v>0</v>
      </c>
      <c r="O54" s="112"/>
      <c r="P54" s="112"/>
      <c r="Q54" s="112"/>
      <c r="R54" s="112"/>
    </row>
    <row r="55" spans="1:18" ht="12.75">
      <c r="A55" s="165">
        <v>292</v>
      </c>
      <c r="B55" s="228" t="s">
        <v>142</v>
      </c>
      <c r="C55" s="167" t="s">
        <v>143</v>
      </c>
      <c r="D55" s="229"/>
      <c r="E55" s="105"/>
      <c r="F55" s="229"/>
      <c r="G55" s="230"/>
      <c r="H55" s="105"/>
      <c r="I55" s="105"/>
      <c r="J55" s="220">
        <v>1000</v>
      </c>
      <c r="K55" s="168">
        <v>200</v>
      </c>
      <c r="L55" s="109">
        <v>200</v>
      </c>
      <c r="M55" s="169">
        <v>200</v>
      </c>
      <c r="N55" s="170">
        <v>200</v>
      </c>
      <c r="O55" s="112"/>
      <c r="P55" s="112"/>
      <c r="Q55" s="112"/>
      <c r="R55" s="112"/>
    </row>
    <row r="56" spans="1:18" ht="12.75">
      <c r="A56" s="165">
        <v>292</v>
      </c>
      <c r="B56" s="228" t="s">
        <v>144</v>
      </c>
      <c r="C56" s="167" t="s">
        <v>145</v>
      </c>
      <c r="D56" s="229"/>
      <c r="E56" s="105"/>
      <c r="F56" s="229"/>
      <c r="G56" s="230"/>
      <c r="H56" s="105"/>
      <c r="I56" s="105"/>
      <c r="J56" s="220">
        <v>242</v>
      </c>
      <c r="K56" s="168">
        <v>242</v>
      </c>
      <c r="L56" s="109">
        <v>150</v>
      </c>
      <c r="M56" s="169">
        <v>150</v>
      </c>
      <c r="N56" s="170">
        <v>150</v>
      </c>
      <c r="O56" s="112"/>
      <c r="P56" s="112"/>
      <c r="Q56" s="112"/>
      <c r="R56" s="112"/>
    </row>
    <row r="57" spans="1:19" ht="12.75">
      <c r="A57" s="231">
        <v>292</v>
      </c>
      <c r="B57" s="232" t="s">
        <v>146</v>
      </c>
      <c r="C57" s="167" t="s">
        <v>147</v>
      </c>
      <c r="D57" s="229"/>
      <c r="E57" s="105"/>
      <c r="F57" s="229"/>
      <c r="G57" s="230"/>
      <c r="H57" s="105"/>
      <c r="I57" s="105"/>
      <c r="J57" s="220">
        <v>20</v>
      </c>
      <c r="K57" s="168">
        <v>0</v>
      </c>
      <c r="L57" s="109">
        <v>0</v>
      </c>
      <c r="M57" s="169">
        <v>0</v>
      </c>
      <c r="N57" s="170">
        <v>0</v>
      </c>
      <c r="O57" s="112"/>
      <c r="P57" s="112"/>
      <c r="Q57" s="112"/>
      <c r="R57" s="112"/>
      <c r="S57" s="200"/>
    </row>
    <row r="58" spans="1:18" ht="12.75">
      <c r="A58" s="1465" t="s">
        <v>148</v>
      </c>
      <c r="B58" s="1465"/>
      <c r="C58" s="1465"/>
      <c r="D58" s="233"/>
      <c r="E58" s="172"/>
      <c r="F58" s="233"/>
      <c r="G58" s="172"/>
      <c r="H58" s="233"/>
      <c r="I58" s="172"/>
      <c r="J58" s="234">
        <f>SUM(J32,J39,J51)</f>
        <v>108152</v>
      </c>
      <c r="K58" s="235">
        <f>K32+K39+K51</f>
        <v>108304</v>
      </c>
      <c r="L58" s="175">
        <f>SUM(L32,L39,L51)</f>
        <v>112250</v>
      </c>
      <c r="M58" s="234">
        <f>SUM(M32,M39,M51)</f>
        <v>112250</v>
      </c>
      <c r="N58" s="236">
        <f>SUM(N32,N39,N51)</f>
        <v>112250</v>
      </c>
      <c r="O58" s="193"/>
      <c r="P58" s="193"/>
      <c r="Q58" s="193"/>
      <c r="R58" s="193"/>
    </row>
    <row r="59" spans="1:18" ht="12.75">
      <c r="A59" s="237"/>
      <c r="B59" s="237"/>
      <c r="C59" s="178"/>
      <c r="D59" s="238"/>
      <c r="E59" s="148"/>
      <c r="F59" s="238"/>
      <c r="G59" s="239"/>
      <c r="H59" s="148"/>
      <c r="I59" s="148"/>
      <c r="J59" s="148"/>
      <c r="K59" s="180"/>
      <c r="L59" s="180"/>
      <c r="M59" s="180"/>
      <c r="N59" s="145"/>
      <c r="O59" s="181"/>
      <c r="P59" s="181"/>
      <c r="Q59" s="181"/>
      <c r="R59" s="113"/>
    </row>
    <row r="60" spans="1:18" ht="12.75">
      <c r="A60" s="237"/>
      <c r="B60" s="237"/>
      <c r="C60" s="178"/>
      <c r="D60" s="238"/>
      <c r="E60" s="148"/>
      <c r="F60" s="238"/>
      <c r="G60" s="239"/>
      <c r="H60" s="148"/>
      <c r="I60" s="148"/>
      <c r="J60" s="148"/>
      <c r="K60" s="180"/>
      <c r="L60" s="180"/>
      <c r="M60" s="180"/>
      <c r="N60" s="145"/>
      <c r="O60" s="181"/>
      <c r="P60" s="181"/>
      <c r="Q60" s="181"/>
      <c r="R60" s="113"/>
    </row>
    <row r="61" spans="1:18" ht="15.75">
      <c r="A61" s="237"/>
      <c r="B61" s="237"/>
      <c r="C61" s="178"/>
      <c r="D61" s="238"/>
      <c r="E61" s="148"/>
      <c r="F61" s="238"/>
      <c r="G61" s="239"/>
      <c r="H61" s="148"/>
      <c r="I61" s="240" t="s">
        <v>149</v>
      </c>
      <c r="J61" s="240"/>
      <c r="K61" s="1466" t="s">
        <v>149</v>
      </c>
      <c r="L61" s="1466"/>
      <c r="M61" s="1466"/>
      <c r="N61" s="1466"/>
      <c r="O61" s="241"/>
      <c r="P61" s="241"/>
      <c r="Q61" s="241"/>
      <c r="R61" s="241"/>
    </row>
    <row r="62" spans="1:18" ht="12.75">
      <c r="A62" s="237"/>
      <c r="B62" s="237"/>
      <c r="C62" s="178"/>
      <c r="D62" s="238"/>
      <c r="E62" s="148"/>
      <c r="F62" s="238"/>
      <c r="G62" s="239"/>
      <c r="H62" s="148"/>
      <c r="I62" s="148"/>
      <c r="J62" s="148"/>
      <c r="K62" s="180"/>
      <c r="L62" s="180"/>
      <c r="M62" s="180"/>
      <c r="N62" s="145"/>
      <c r="O62" s="181"/>
      <c r="P62" s="181"/>
      <c r="Q62" s="181"/>
      <c r="R62" s="113"/>
    </row>
    <row r="63" spans="1:18" ht="15.75">
      <c r="A63" s="61" t="s">
        <v>1</v>
      </c>
      <c r="B63" s="62"/>
      <c r="C63" s="63"/>
      <c r="D63" s="64"/>
      <c r="E63" s="65"/>
      <c r="F63" s="64"/>
      <c r="G63" s="65"/>
      <c r="H63" s="64"/>
      <c r="I63" s="65"/>
      <c r="J63" s="66">
        <v>2012</v>
      </c>
      <c r="K63" s="242">
        <v>2013</v>
      </c>
      <c r="L63" s="68">
        <v>2014</v>
      </c>
      <c r="M63" s="69">
        <v>2015</v>
      </c>
      <c r="N63" s="70">
        <v>2016</v>
      </c>
      <c r="O63" s="71"/>
      <c r="P63" s="71"/>
      <c r="Q63" s="71"/>
      <c r="R63" s="72"/>
    </row>
    <row r="64" spans="1:18" s="85" customFormat="1" ht="12.75">
      <c r="A64" s="184" t="s">
        <v>150</v>
      </c>
      <c r="B64" s="185"/>
      <c r="C64" s="186"/>
      <c r="D64" s="187"/>
      <c r="E64" s="188"/>
      <c r="F64" s="187"/>
      <c r="G64" s="188"/>
      <c r="H64" s="187"/>
      <c r="I64" s="188"/>
      <c r="J64" s="188">
        <f>SUM(J65,J66,J68,J69,J70,J71,J72,J73,J74,J75,J76,J77,J78,J79,J80)</f>
        <v>517697.79</v>
      </c>
      <c r="K64" s="189">
        <f>K65+K66+K68+K69+K70+K71+K72+K73+K74+K75+K76+K77+K78+K79+K80+K82+K83+K81+K67</f>
        <v>544865.77</v>
      </c>
      <c r="L64" s="190">
        <f>L65+L66+L68+L69+L70+L71+L72+L73+L74+L75+L76+L77+L78+L79+L80+L83+L81</f>
        <v>574950</v>
      </c>
      <c r="M64" s="191">
        <f>M65+M66+M68+M69+M70+M71+M72+M73+M74+M75+M76+M77+M78+M79+M80+M83</f>
        <v>498450</v>
      </c>
      <c r="N64" s="192">
        <f>N65+N66+N68+N69+N70+N71+N72+N73+N74+N75+N76+N77+N78+N79+N80+N83</f>
        <v>492157</v>
      </c>
      <c r="O64" s="193"/>
      <c r="P64" s="193"/>
      <c r="Q64" s="193"/>
      <c r="R64" s="193"/>
    </row>
    <row r="65" spans="1:18" s="85" customFormat="1" ht="12.75">
      <c r="A65" s="86">
        <v>312</v>
      </c>
      <c r="B65" s="87" t="s">
        <v>104</v>
      </c>
      <c r="C65" s="88" t="s">
        <v>151</v>
      </c>
      <c r="D65" s="243"/>
      <c r="E65" s="90"/>
      <c r="F65" s="90"/>
      <c r="G65" s="244"/>
      <c r="H65" s="90"/>
      <c r="I65" s="90"/>
      <c r="J65" s="245">
        <v>400</v>
      </c>
      <c r="K65" s="226">
        <v>500</v>
      </c>
      <c r="L65" s="124">
        <v>400</v>
      </c>
      <c r="M65" s="220">
        <v>400</v>
      </c>
      <c r="N65" s="227">
        <v>400</v>
      </c>
      <c r="O65" s="112"/>
      <c r="P65" s="112"/>
      <c r="Q65" s="112"/>
      <c r="R65" s="112"/>
    </row>
    <row r="66" spans="1:18" s="85" customFormat="1" ht="12.75">
      <c r="A66" s="86">
        <v>312</v>
      </c>
      <c r="B66" s="87" t="s">
        <v>104</v>
      </c>
      <c r="C66" s="88" t="s">
        <v>152</v>
      </c>
      <c r="D66" s="90"/>
      <c r="E66" s="90"/>
      <c r="F66" s="90"/>
      <c r="G66" s="89"/>
      <c r="H66" s="90"/>
      <c r="I66" s="90"/>
      <c r="J66" s="245">
        <v>403046</v>
      </c>
      <c r="K66" s="226">
        <v>435707</v>
      </c>
      <c r="L66" s="124">
        <v>435000</v>
      </c>
      <c r="M66" s="220">
        <v>435000</v>
      </c>
      <c r="N66" s="227">
        <v>435707</v>
      </c>
      <c r="O66" s="112"/>
      <c r="P66" s="112"/>
      <c r="Q66" s="112"/>
      <c r="R66" s="112"/>
    </row>
    <row r="67" spans="1:18" s="85" customFormat="1" ht="12.75">
      <c r="A67" s="86">
        <v>312</v>
      </c>
      <c r="B67" s="87" t="s">
        <v>104</v>
      </c>
      <c r="C67" s="88" t="s">
        <v>741</v>
      </c>
      <c r="D67" s="90"/>
      <c r="E67" s="90"/>
      <c r="F67" s="90"/>
      <c r="G67" s="89"/>
      <c r="H67" s="90"/>
      <c r="I67" s="90"/>
      <c r="J67" s="245"/>
      <c r="K67" s="226">
        <v>6447</v>
      </c>
      <c r="L67" s="124"/>
      <c r="M67" s="220"/>
      <c r="N67" s="227"/>
      <c r="O67" s="112"/>
      <c r="P67" s="112"/>
      <c r="Q67" s="112"/>
      <c r="R67" s="112"/>
    </row>
    <row r="68" spans="1:18" s="85" customFormat="1" ht="12.75">
      <c r="A68" s="86">
        <v>312</v>
      </c>
      <c r="B68" s="87" t="s">
        <v>104</v>
      </c>
      <c r="C68" s="88" t="s">
        <v>153</v>
      </c>
      <c r="D68" s="243"/>
      <c r="E68" s="90"/>
      <c r="F68" s="243"/>
      <c r="G68" s="244"/>
      <c r="H68" s="90"/>
      <c r="I68" s="90"/>
      <c r="J68" s="245">
        <v>2857.47</v>
      </c>
      <c r="K68" s="226">
        <v>7332</v>
      </c>
      <c r="L68" s="124">
        <v>0</v>
      </c>
      <c r="M68" s="220">
        <v>0</v>
      </c>
      <c r="N68" s="227">
        <v>0</v>
      </c>
      <c r="O68" s="112"/>
      <c r="P68" s="112"/>
      <c r="Q68" s="112"/>
      <c r="R68" s="112"/>
    </row>
    <row r="69" spans="1:18" ht="12.75">
      <c r="A69" s="102">
        <v>312</v>
      </c>
      <c r="B69" s="103" t="s">
        <v>104</v>
      </c>
      <c r="C69" s="88" t="s">
        <v>154</v>
      </c>
      <c r="D69" s="121"/>
      <c r="E69" s="121"/>
      <c r="F69" s="121"/>
      <c r="G69" s="161"/>
      <c r="H69" s="121"/>
      <c r="I69" s="121"/>
      <c r="J69" s="245">
        <v>4617</v>
      </c>
      <c r="K69" s="123">
        <v>5038</v>
      </c>
      <c r="L69" s="124">
        <v>5000</v>
      </c>
      <c r="M69" s="125">
        <v>5500</v>
      </c>
      <c r="N69" s="126">
        <v>5500</v>
      </c>
      <c r="O69" s="112"/>
      <c r="P69" s="112"/>
      <c r="Q69" s="112"/>
      <c r="R69" s="112"/>
    </row>
    <row r="70" spans="1:18" ht="12.75">
      <c r="A70" s="102">
        <v>312</v>
      </c>
      <c r="B70" s="103" t="s">
        <v>104</v>
      </c>
      <c r="C70" s="88" t="s">
        <v>155</v>
      </c>
      <c r="D70" s="121"/>
      <c r="E70" s="121"/>
      <c r="F70" s="121"/>
      <c r="G70" s="161"/>
      <c r="H70" s="121"/>
      <c r="I70" s="121"/>
      <c r="J70" s="245">
        <v>4771.95</v>
      </c>
      <c r="K70" s="123">
        <v>4800</v>
      </c>
      <c r="L70" s="124">
        <v>4800</v>
      </c>
      <c r="M70" s="125">
        <v>4800</v>
      </c>
      <c r="N70" s="126">
        <v>4800</v>
      </c>
      <c r="O70" s="112"/>
      <c r="P70" s="112"/>
      <c r="Q70" s="112"/>
      <c r="R70" s="112"/>
    </row>
    <row r="71" spans="1:21" ht="12.75">
      <c r="A71" s="102">
        <v>312</v>
      </c>
      <c r="B71" s="103" t="s">
        <v>104</v>
      </c>
      <c r="C71" s="88" t="s">
        <v>156</v>
      </c>
      <c r="D71" s="205"/>
      <c r="E71" s="205"/>
      <c r="F71" s="121"/>
      <c r="G71" s="246"/>
      <c r="H71" s="205"/>
      <c r="I71" s="205"/>
      <c r="J71" s="245">
        <v>10050</v>
      </c>
      <c r="K71" s="208">
        <v>5500</v>
      </c>
      <c r="L71" s="209">
        <v>5000</v>
      </c>
      <c r="M71" s="210">
        <v>5000</v>
      </c>
      <c r="N71" s="211">
        <v>5000</v>
      </c>
      <c r="O71" s="112"/>
      <c r="P71" s="112"/>
      <c r="Q71" s="112"/>
      <c r="R71" s="112"/>
      <c r="S71" s="247"/>
      <c r="T71" s="247"/>
      <c r="U71" s="247"/>
    </row>
    <row r="72" spans="1:21" s="51" customFormat="1" ht="12.75">
      <c r="A72" s="86">
        <v>312</v>
      </c>
      <c r="B72" s="87" t="s">
        <v>104</v>
      </c>
      <c r="C72" s="88" t="s">
        <v>157</v>
      </c>
      <c r="D72" s="248"/>
      <c r="E72" s="90"/>
      <c r="F72" s="248"/>
      <c r="G72" s="249"/>
      <c r="H72" s="90"/>
      <c r="I72" s="90"/>
      <c r="J72" s="245">
        <v>8033</v>
      </c>
      <c r="K72" s="226">
        <v>10967</v>
      </c>
      <c r="L72" s="124">
        <v>10000</v>
      </c>
      <c r="M72" s="220">
        <v>10000</v>
      </c>
      <c r="N72" s="227">
        <v>10000</v>
      </c>
      <c r="O72" s="112"/>
      <c r="P72" s="112"/>
      <c r="Q72" s="112"/>
      <c r="R72" s="112"/>
      <c r="S72" s="250"/>
      <c r="T72" s="250"/>
      <c r="U72" s="250"/>
    </row>
    <row r="73" spans="1:21" s="51" customFormat="1" ht="12.75">
      <c r="A73" s="86">
        <v>312</v>
      </c>
      <c r="B73" s="87" t="s">
        <v>158</v>
      </c>
      <c r="C73" s="88" t="s">
        <v>159</v>
      </c>
      <c r="D73" s="251"/>
      <c r="E73" s="229"/>
      <c r="F73" s="251"/>
      <c r="G73" s="252"/>
      <c r="H73" s="229"/>
      <c r="I73" s="229"/>
      <c r="J73" s="245"/>
      <c r="K73" s="108">
        <v>0</v>
      </c>
      <c r="L73" s="109">
        <v>250</v>
      </c>
      <c r="M73" s="110">
        <v>250</v>
      </c>
      <c r="N73" s="111">
        <v>250</v>
      </c>
      <c r="O73" s="112"/>
      <c r="P73" s="112"/>
      <c r="Q73" s="112"/>
      <c r="R73" s="112"/>
      <c r="S73" s="250"/>
      <c r="T73" s="250"/>
      <c r="U73" s="250"/>
    </row>
    <row r="74" spans="1:21" s="51" customFormat="1" ht="12.75">
      <c r="A74" s="86">
        <v>312</v>
      </c>
      <c r="B74" s="87" t="s">
        <v>104</v>
      </c>
      <c r="C74" s="88" t="s">
        <v>67</v>
      </c>
      <c r="D74" s="251"/>
      <c r="E74" s="229"/>
      <c r="F74" s="251"/>
      <c r="G74" s="252"/>
      <c r="H74" s="229"/>
      <c r="I74" s="229"/>
      <c r="J74" s="245">
        <v>3394</v>
      </c>
      <c r="K74" s="108">
        <v>3000</v>
      </c>
      <c r="L74" s="109">
        <v>3500</v>
      </c>
      <c r="M74" s="110">
        <v>3500</v>
      </c>
      <c r="N74" s="111">
        <v>3500</v>
      </c>
      <c r="O74" s="112"/>
      <c r="P74" s="112"/>
      <c r="Q74" s="112"/>
      <c r="R74" s="112"/>
      <c r="S74" s="250"/>
      <c r="T74" s="250"/>
      <c r="U74" s="250"/>
    </row>
    <row r="75" spans="1:21" s="51" customFormat="1" ht="12.75" customHeight="1">
      <c r="A75" s="86">
        <v>312</v>
      </c>
      <c r="B75" s="87" t="s">
        <v>104</v>
      </c>
      <c r="C75" s="88" t="s">
        <v>69</v>
      </c>
      <c r="D75" s="251"/>
      <c r="E75" s="229"/>
      <c r="F75" s="251"/>
      <c r="G75" s="252"/>
      <c r="H75" s="229"/>
      <c r="I75" s="229"/>
      <c r="J75" s="245">
        <v>7813</v>
      </c>
      <c r="K75" s="108">
        <v>8138</v>
      </c>
      <c r="L75" s="109">
        <v>8000</v>
      </c>
      <c r="M75" s="110">
        <v>8000</v>
      </c>
      <c r="N75" s="111">
        <v>8000</v>
      </c>
      <c r="O75" s="112"/>
      <c r="P75" s="112"/>
      <c r="Q75" s="112"/>
      <c r="R75" s="112"/>
      <c r="S75" s="253"/>
      <c r="T75" s="250"/>
      <c r="U75" s="254"/>
    </row>
    <row r="76" spans="1:21" s="51" customFormat="1" ht="12.75">
      <c r="A76" s="86">
        <v>312</v>
      </c>
      <c r="B76" s="87" t="s">
        <v>104</v>
      </c>
      <c r="C76" s="88" t="s">
        <v>160</v>
      </c>
      <c r="D76" s="248"/>
      <c r="E76" s="90"/>
      <c r="F76" s="248"/>
      <c r="G76" s="249"/>
      <c r="H76" s="90"/>
      <c r="I76" s="90"/>
      <c r="J76" s="245">
        <v>1350</v>
      </c>
      <c r="K76" s="226">
        <v>6190</v>
      </c>
      <c r="L76" s="124">
        <v>1500</v>
      </c>
      <c r="M76" s="220">
        <v>1500</v>
      </c>
      <c r="N76" s="227">
        <v>1500</v>
      </c>
      <c r="O76" s="112"/>
      <c r="P76" s="112"/>
      <c r="Q76" s="112"/>
      <c r="R76" s="112"/>
      <c r="S76" s="255"/>
      <c r="T76" s="255"/>
      <c r="U76" s="255"/>
    </row>
    <row r="77" spans="1:18" s="51" customFormat="1" ht="12.75">
      <c r="A77" s="86">
        <v>312</v>
      </c>
      <c r="B77" s="87" t="s">
        <v>104</v>
      </c>
      <c r="C77" s="88" t="s">
        <v>161</v>
      </c>
      <c r="D77" s="248"/>
      <c r="E77" s="90"/>
      <c r="F77" s="248"/>
      <c r="G77" s="249"/>
      <c r="H77" s="90"/>
      <c r="I77" s="90"/>
      <c r="J77" s="245">
        <v>14500</v>
      </c>
      <c r="K77" s="226">
        <v>14500</v>
      </c>
      <c r="L77" s="124">
        <v>14500</v>
      </c>
      <c r="M77" s="220">
        <v>14500</v>
      </c>
      <c r="N77" s="227">
        <v>14500</v>
      </c>
      <c r="O77" s="112"/>
      <c r="P77" s="112"/>
      <c r="Q77" s="112"/>
      <c r="R77" s="112"/>
    </row>
    <row r="78" spans="1:19" s="51" customFormat="1" ht="12.75">
      <c r="A78" s="225">
        <v>312</v>
      </c>
      <c r="B78" s="166" t="s">
        <v>104</v>
      </c>
      <c r="C78" s="167" t="s">
        <v>71</v>
      </c>
      <c r="D78" s="248"/>
      <c r="E78" s="90"/>
      <c r="F78" s="248"/>
      <c r="G78" s="249"/>
      <c r="H78" s="90"/>
      <c r="I78" s="90"/>
      <c r="J78" s="256">
        <v>3000</v>
      </c>
      <c r="K78" s="108">
        <v>2539.8</v>
      </c>
      <c r="L78" s="109">
        <v>3000</v>
      </c>
      <c r="M78" s="110">
        <v>3000</v>
      </c>
      <c r="N78" s="111">
        <v>3000</v>
      </c>
      <c r="O78" s="112"/>
      <c r="P78" s="112"/>
      <c r="Q78" s="112"/>
      <c r="R78" s="112"/>
      <c r="S78" s="257"/>
    </row>
    <row r="79" spans="1:19" s="51" customFormat="1" ht="12.75">
      <c r="A79" s="86">
        <v>312</v>
      </c>
      <c r="B79" s="87" t="s">
        <v>104</v>
      </c>
      <c r="C79" s="88" t="s">
        <v>162</v>
      </c>
      <c r="D79" s="201"/>
      <c r="E79" s="238"/>
      <c r="F79" s="201"/>
      <c r="G79" s="202"/>
      <c r="H79" s="238"/>
      <c r="I79" s="238"/>
      <c r="J79" s="245">
        <v>3990.37</v>
      </c>
      <c r="K79" s="226">
        <v>17392.6</v>
      </c>
      <c r="L79" s="1431">
        <v>0</v>
      </c>
      <c r="M79" s="220">
        <v>0</v>
      </c>
      <c r="N79" s="227">
        <v>0</v>
      </c>
      <c r="O79" s="1429"/>
      <c r="P79" s="112"/>
      <c r="Q79" s="112"/>
      <c r="R79" s="112"/>
      <c r="S79" s="257"/>
    </row>
    <row r="80" spans="1:19" s="51" customFormat="1" ht="12.75">
      <c r="A80" s="225">
        <v>312</v>
      </c>
      <c r="B80" s="166" t="s">
        <v>104</v>
      </c>
      <c r="C80" s="167" t="s">
        <v>163</v>
      </c>
      <c r="D80" s="201"/>
      <c r="E80" s="238"/>
      <c r="F80" s="201"/>
      <c r="G80" s="202"/>
      <c r="H80" s="238"/>
      <c r="I80" s="238"/>
      <c r="J80" s="256">
        <v>49875</v>
      </c>
      <c r="K80" s="1427">
        <v>4772.47</v>
      </c>
      <c r="L80" s="1432">
        <v>60000</v>
      </c>
      <c r="M80" s="110">
        <v>0</v>
      </c>
      <c r="N80" s="111">
        <v>0</v>
      </c>
      <c r="O80" s="112"/>
      <c r="P80" s="112"/>
      <c r="Q80" s="112"/>
      <c r="R80" s="112"/>
      <c r="S80" s="257"/>
    </row>
    <row r="81" spans="1:19" s="51" customFormat="1" ht="12.75">
      <c r="A81" s="86">
        <v>312</v>
      </c>
      <c r="B81" s="87" t="s">
        <v>104</v>
      </c>
      <c r="C81" s="88" t="s">
        <v>164</v>
      </c>
      <c r="D81" s="201"/>
      <c r="E81" s="238"/>
      <c r="F81" s="201"/>
      <c r="G81" s="202"/>
      <c r="H81" s="238"/>
      <c r="I81" s="238"/>
      <c r="J81" s="245"/>
      <c r="K81" s="226">
        <v>2729.9</v>
      </c>
      <c r="L81" s="124">
        <v>10000</v>
      </c>
      <c r="M81" s="258">
        <v>0</v>
      </c>
      <c r="N81" s="259">
        <v>0</v>
      </c>
      <c r="O81" s="112"/>
      <c r="P81" s="112"/>
      <c r="Q81" s="112"/>
      <c r="R81" s="112"/>
      <c r="S81" s="257"/>
    </row>
    <row r="82" spans="1:19" s="51" customFormat="1" ht="12.75">
      <c r="A82" s="86">
        <v>312</v>
      </c>
      <c r="B82" s="87" t="s">
        <v>104</v>
      </c>
      <c r="C82" s="88" t="s">
        <v>165</v>
      </c>
      <c r="D82" s="201"/>
      <c r="E82" s="238"/>
      <c r="F82" s="201"/>
      <c r="G82" s="202"/>
      <c r="H82" s="238"/>
      <c r="I82" s="238"/>
      <c r="J82" s="245"/>
      <c r="K82" s="226">
        <v>1932</v>
      </c>
      <c r="L82" s="128"/>
      <c r="M82" s="258"/>
      <c r="N82" s="259"/>
      <c r="O82" s="112"/>
      <c r="P82" s="112"/>
      <c r="Q82" s="112"/>
      <c r="R82" s="112"/>
      <c r="S82" s="257"/>
    </row>
    <row r="83" spans="1:19" s="51" customFormat="1" ht="12.75">
      <c r="A83" s="260">
        <v>312</v>
      </c>
      <c r="B83" s="195" t="s">
        <v>104</v>
      </c>
      <c r="C83" s="196" t="s">
        <v>82</v>
      </c>
      <c r="D83" s="261"/>
      <c r="E83" s="262"/>
      <c r="F83" s="261"/>
      <c r="G83" s="263"/>
      <c r="H83" s="262"/>
      <c r="I83" s="262"/>
      <c r="J83" s="264"/>
      <c r="K83" s="265">
        <v>7380</v>
      </c>
      <c r="L83" s="1433">
        <v>14000</v>
      </c>
      <c r="M83" s="266">
        <v>7000</v>
      </c>
      <c r="N83" s="267">
        <v>0</v>
      </c>
      <c r="O83" s="112"/>
      <c r="P83" s="112"/>
      <c r="Q83" s="112"/>
      <c r="R83" s="112"/>
      <c r="S83" s="257"/>
    </row>
    <row r="84" spans="1:18" s="51" customFormat="1" ht="12.75">
      <c r="A84" s="178"/>
      <c r="B84" s="178"/>
      <c r="C84" s="178"/>
      <c r="D84" s="201"/>
      <c r="E84" s="238"/>
      <c r="F84" s="201"/>
      <c r="G84" s="202"/>
      <c r="H84" s="238"/>
      <c r="I84" s="238"/>
      <c r="J84" s="268"/>
      <c r="K84" s="268"/>
      <c r="L84" s="269"/>
      <c r="M84" s="270"/>
      <c r="N84" s="270"/>
      <c r="O84" s="268"/>
      <c r="P84" s="268"/>
      <c r="Q84" s="268"/>
      <c r="R84" s="268"/>
    </row>
    <row r="85" spans="1:18" s="160" customFormat="1" ht="12.75">
      <c r="A85" s="149" t="s">
        <v>166</v>
      </c>
      <c r="B85" s="150"/>
      <c r="C85" s="151"/>
      <c r="D85" s="271"/>
      <c r="E85" s="272"/>
      <c r="F85" s="271"/>
      <c r="G85" s="271"/>
      <c r="H85" s="272"/>
      <c r="I85" s="272"/>
      <c r="J85" s="273">
        <f>J86+J87</f>
        <v>23673.52</v>
      </c>
      <c r="K85" s="274">
        <f>K86+K87</f>
        <v>0</v>
      </c>
      <c r="L85" s="275">
        <f>SUM(L86,L87)</f>
        <v>0</v>
      </c>
      <c r="M85" s="276">
        <f>SUM(M86,M87)</f>
        <v>0</v>
      </c>
      <c r="N85" s="277">
        <f>SUM(N86,N87)</f>
        <v>0</v>
      </c>
      <c r="O85" s="112"/>
      <c r="P85" s="112"/>
      <c r="Q85" s="112"/>
      <c r="R85" s="112"/>
    </row>
    <row r="86" spans="1:18" s="160" customFormat="1" ht="12.75">
      <c r="A86" s="86">
        <v>311</v>
      </c>
      <c r="B86" s="87"/>
      <c r="C86" s="104" t="s">
        <v>167</v>
      </c>
      <c r="D86" s="278"/>
      <c r="E86" s="278"/>
      <c r="F86" s="278"/>
      <c r="G86" s="279"/>
      <c r="H86" s="278"/>
      <c r="I86" s="280"/>
      <c r="J86" s="281">
        <v>2100</v>
      </c>
      <c r="K86" s="282">
        <v>0</v>
      </c>
      <c r="L86" s="283">
        <v>0</v>
      </c>
      <c r="M86" s="284">
        <v>0</v>
      </c>
      <c r="N86" s="285">
        <v>0</v>
      </c>
      <c r="O86" s="286"/>
      <c r="P86" s="286"/>
      <c r="Q86" s="286"/>
      <c r="R86" s="286"/>
    </row>
    <row r="87" spans="1:19" s="51" customFormat="1" ht="12.75">
      <c r="A87" s="86">
        <v>311</v>
      </c>
      <c r="B87" s="87"/>
      <c r="C87" s="88" t="s">
        <v>168</v>
      </c>
      <c r="D87" s="90"/>
      <c r="E87" s="90"/>
      <c r="F87" s="90"/>
      <c r="G87" s="89"/>
      <c r="H87" s="90"/>
      <c r="I87" s="90"/>
      <c r="J87" s="245">
        <v>21573.52</v>
      </c>
      <c r="K87" s="226">
        <v>0</v>
      </c>
      <c r="L87" s="287">
        <v>0</v>
      </c>
      <c r="M87" s="220">
        <v>0</v>
      </c>
      <c r="N87" s="227">
        <v>0</v>
      </c>
      <c r="O87" s="288"/>
      <c r="P87" s="112"/>
      <c r="Q87" s="112"/>
      <c r="R87" s="112"/>
      <c r="S87" s="257"/>
    </row>
    <row r="88" spans="1:18" s="51" customFormat="1" ht="12.75">
      <c r="A88" s="289"/>
      <c r="B88" s="178"/>
      <c r="C88" s="178"/>
      <c r="D88" s="238"/>
      <c r="E88" s="238"/>
      <c r="F88" s="238"/>
      <c r="G88" s="239"/>
      <c r="H88" s="238"/>
      <c r="I88" s="238"/>
      <c r="J88" s="245"/>
      <c r="K88" s="290"/>
      <c r="L88" s="291"/>
      <c r="M88" s="292"/>
      <c r="N88" s="293"/>
      <c r="O88" s="268"/>
      <c r="P88" s="268"/>
      <c r="Q88" s="268"/>
      <c r="R88" s="112"/>
    </row>
    <row r="89" spans="1:18" s="51" customFormat="1" ht="12.75">
      <c r="A89" s="1467" t="s">
        <v>169</v>
      </c>
      <c r="B89" s="1467"/>
      <c r="C89" s="1467"/>
      <c r="D89" s="294"/>
      <c r="E89" s="295"/>
      <c r="F89" s="294"/>
      <c r="G89" s="295"/>
      <c r="H89" s="294"/>
      <c r="I89" s="295"/>
      <c r="J89" s="296">
        <f>SUM(J64,J85)</f>
        <v>541371.3099999999</v>
      </c>
      <c r="K89" s="297">
        <f>K64+K85</f>
        <v>544865.77</v>
      </c>
      <c r="L89" s="298">
        <f>SUM(L64,L85)</f>
        <v>574950</v>
      </c>
      <c r="M89" s="299">
        <f>SUM(M64,M85)</f>
        <v>498450</v>
      </c>
      <c r="N89" s="300">
        <f>SUM(N64,N85)</f>
        <v>492157</v>
      </c>
      <c r="O89" s="193"/>
      <c r="P89" s="193"/>
      <c r="Q89" s="193"/>
      <c r="R89" s="193"/>
    </row>
    <row r="90" spans="1:18" s="48" customFormat="1" ht="12.75">
      <c r="A90" s="301" t="s">
        <v>170</v>
      </c>
      <c r="B90" s="302"/>
      <c r="C90" s="303"/>
      <c r="D90" s="304"/>
      <c r="E90" s="304"/>
      <c r="F90" s="304"/>
      <c r="G90" s="304"/>
      <c r="H90" s="304"/>
      <c r="I90" s="305"/>
      <c r="J90" s="306">
        <f>SUM(J26,J89,J58)</f>
        <v>1370550.23</v>
      </c>
      <c r="K90" s="307">
        <f>K26+K58+K89</f>
        <v>1434963.77</v>
      </c>
      <c r="L90" s="306">
        <f>SUM(L26,L58,L89)</f>
        <v>1518953</v>
      </c>
      <c r="M90" s="308">
        <f>SUM(M26,M58,M89)</f>
        <v>1492453</v>
      </c>
      <c r="N90" s="306">
        <f>SUM(N26,N58,N89)</f>
        <v>1486160</v>
      </c>
      <c r="O90" s="96"/>
      <c r="P90" s="96"/>
      <c r="Q90" s="96"/>
      <c r="R90" s="96"/>
    </row>
    <row r="91" ht="12.75" customHeight="1">
      <c r="K91" s="309"/>
    </row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>
      <c r="C98" s="54" t="s">
        <v>83</v>
      </c>
    </row>
    <row r="99" spans="11:18" ht="12.75" customHeight="1">
      <c r="K99" s="1464" t="s">
        <v>120</v>
      </c>
      <c r="L99" s="1464"/>
      <c r="M99" s="1464"/>
      <c r="N99" s="1464"/>
      <c r="O99" s="57"/>
      <c r="P99" s="57"/>
      <c r="Q99" s="57"/>
      <c r="R99" s="57"/>
    </row>
    <row r="100" ht="12.75" customHeight="1"/>
    <row r="101" spans="1:18" s="51" customFormat="1" ht="51" customHeight="1">
      <c r="A101" s="61" t="s">
        <v>83</v>
      </c>
      <c r="B101" s="310"/>
      <c r="C101" s="311"/>
      <c r="D101" s="312" t="s">
        <v>171</v>
      </c>
      <c r="E101" s="313" t="s">
        <v>172</v>
      </c>
      <c r="F101" s="312" t="s">
        <v>171</v>
      </c>
      <c r="G101" s="313" t="s">
        <v>172</v>
      </c>
      <c r="H101" s="312" t="s">
        <v>171</v>
      </c>
      <c r="I101" s="313" t="s">
        <v>172</v>
      </c>
      <c r="J101" s="66">
        <v>2012</v>
      </c>
      <c r="K101" s="314">
        <v>2013</v>
      </c>
      <c r="L101" s="315">
        <v>2014</v>
      </c>
      <c r="M101" s="316">
        <v>2015</v>
      </c>
      <c r="N101" s="70">
        <v>2016</v>
      </c>
      <c r="O101" s="71"/>
      <c r="P101" s="71"/>
      <c r="Q101" s="71"/>
      <c r="R101" s="72"/>
    </row>
    <row r="102" spans="1:18" ht="12.75">
      <c r="A102" s="102">
        <v>231</v>
      </c>
      <c r="B102" s="103"/>
      <c r="C102" s="317" t="s">
        <v>173</v>
      </c>
      <c r="D102" s="281">
        <v>0</v>
      </c>
      <c r="E102" s="281"/>
      <c r="F102" s="281">
        <v>0</v>
      </c>
      <c r="G102" s="281"/>
      <c r="H102" s="281">
        <v>0</v>
      </c>
      <c r="I102" s="281"/>
      <c r="J102" s="281">
        <v>0</v>
      </c>
      <c r="K102" s="318">
        <v>0</v>
      </c>
      <c r="L102" s="319">
        <v>0</v>
      </c>
      <c r="M102" s="280">
        <v>0</v>
      </c>
      <c r="N102" s="285">
        <v>0</v>
      </c>
      <c r="O102" s="286"/>
      <c r="P102" s="286"/>
      <c r="Q102" s="286"/>
      <c r="R102" s="286"/>
    </row>
    <row r="103" spans="1:18" ht="12.75">
      <c r="A103" s="165">
        <v>233</v>
      </c>
      <c r="B103" s="228"/>
      <c r="C103" s="320" t="s">
        <v>174</v>
      </c>
      <c r="D103" s="281">
        <v>3000</v>
      </c>
      <c r="E103" s="281"/>
      <c r="F103" s="281">
        <v>3000</v>
      </c>
      <c r="G103" s="281"/>
      <c r="H103" s="281">
        <v>3000</v>
      </c>
      <c r="I103" s="281"/>
      <c r="J103" s="281">
        <v>3000</v>
      </c>
      <c r="K103" s="282">
        <v>6800</v>
      </c>
      <c r="L103" s="1430">
        <v>10000</v>
      </c>
      <c r="M103" s="322">
        <v>0</v>
      </c>
      <c r="N103" s="285">
        <v>0</v>
      </c>
      <c r="O103" s="286"/>
      <c r="P103" s="286"/>
      <c r="Q103" s="286"/>
      <c r="R103" s="286"/>
    </row>
    <row r="104" spans="1:18" ht="12.75">
      <c r="A104" s="1465" t="s">
        <v>148</v>
      </c>
      <c r="B104" s="1465"/>
      <c r="C104" s="1465"/>
      <c r="D104" s="323">
        <f>SUM(D102,D103)</f>
        <v>3000</v>
      </c>
      <c r="E104" s="323">
        <f>E102+E103</f>
        <v>0</v>
      </c>
      <c r="F104" s="323">
        <f>SUM(F102,F103)</f>
        <v>3000</v>
      </c>
      <c r="G104" s="323">
        <f>G102+G103</f>
        <v>0</v>
      </c>
      <c r="H104" s="323">
        <f>SUM(H102,H103)</f>
        <v>3000</v>
      </c>
      <c r="I104" s="323">
        <f>I102+I103</f>
        <v>0</v>
      </c>
      <c r="J104" s="323">
        <f>SUM(J102,J103)</f>
        <v>3000</v>
      </c>
      <c r="K104" s="324">
        <f>K102+K103</f>
        <v>6800</v>
      </c>
      <c r="L104" s="325">
        <f>L102+L103</f>
        <v>10000</v>
      </c>
      <c r="M104" s="326">
        <f>M102+M103</f>
        <v>0</v>
      </c>
      <c r="N104" s="327">
        <f>N102+N103</f>
        <v>0</v>
      </c>
      <c r="O104" s="328"/>
      <c r="P104" s="328"/>
      <c r="Q104" s="328"/>
      <c r="R104" s="328"/>
    </row>
    <row r="105" spans="1:11" ht="12.75">
      <c r="A105" s="143"/>
      <c r="B105" s="143"/>
      <c r="C105" s="329"/>
      <c r="D105" s="144"/>
      <c r="E105" s="144"/>
      <c r="F105" s="144"/>
      <c r="G105" s="146"/>
      <c r="H105" s="144"/>
      <c r="I105" s="144"/>
      <c r="J105" s="144"/>
      <c r="K105" s="180"/>
    </row>
    <row r="106" spans="1:18" ht="15.75">
      <c r="A106" s="143"/>
      <c r="B106" s="143"/>
      <c r="C106" s="329"/>
      <c r="D106" s="144"/>
      <c r="E106" s="144"/>
      <c r="F106" s="144"/>
      <c r="G106" s="146"/>
      <c r="H106" s="144"/>
      <c r="I106" s="144"/>
      <c r="J106" s="144"/>
      <c r="K106" s="1464" t="s">
        <v>149</v>
      </c>
      <c r="L106" s="1464"/>
      <c r="M106" s="1464"/>
      <c r="N106" s="1464"/>
      <c r="O106" s="57"/>
      <c r="P106" s="57"/>
      <c r="Q106" s="57"/>
      <c r="R106" s="57"/>
    </row>
    <row r="107" spans="1:11" ht="12.75">
      <c r="A107" s="143"/>
      <c r="B107" s="143"/>
      <c r="C107" s="329"/>
      <c r="D107" s="144"/>
      <c r="E107" s="144"/>
      <c r="F107" s="144"/>
      <c r="G107" s="146"/>
      <c r="H107" s="144"/>
      <c r="I107" s="144"/>
      <c r="J107" s="144"/>
      <c r="K107" s="180"/>
    </row>
    <row r="108" spans="1:18" ht="38.25">
      <c r="A108" s="61" t="s">
        <v>83</v>
      </c>
      <c r="B108" s="310"/>
      <c r="C108" s="311"/>
      <c r="D108" s="312" t="s">
        <v>171</v>
      </c>
      <c r="E108" s="313" t="s">
        <v>172</v>
      </c>
      <c r="F108" s="312" t="s">
        <v>171</v>
      </c>
      <c r="G108" s="313" t="s">
        <v>172</v>
      </c>
      <c r="H108" s="312" t="s">
        <v>171</v>
      </c>
      <c r="I108" s="313" t="s">
        <v>172</v>
      </c>
      <c r="J108" s="66">
        <v>2012</v>
      </c>
      <c r="K108" s="314">
        <v>2013</v>
      </c>
      <c r="L108" s="68">
        <v>2014</v>
      </c>
      <c r="M108" s="316">
        <v>2015</v>
      </c>
      <c r="N108" s="70">
        <v>2016</v>
      </c>
      <c r="O108" s="182"/>
      <c r="P108" s="182"/>
      <c r="Q108" s="182"/>
      <c r="R108" s="183"/>
    </row>
    <row r="109" spans="1:18" ht="12.75">
      <c r="A109" s="102">
        <v>322</v>
      </c>
      <c r="B109" s="103"/>
      <c r="C109" s="317" t="s">
        <v>175</v>
      </c>
      <c r="D109" s="281">
        <v>0</v>
      </c>
      <c r="E109" s="281">
        <v>0</v>
      </c>
      <c r="F109" s="281">
        <v>0</v>
      </c>
      <c r="G109" s="281">
        <v>0</v>
      </c>
      <c r="H109" s="281">
        <v>0</v>
      </c>
      <c r="I109" s="281">
        <v>0</v>
      </c>
      <c r="J109" s="281">
        <v>0</v>
      </c>
      <c r="K109" s="318">
        <v>0</v>
      </c>
      <c r="L109" s="321">
        <v>0</v>
      </c>
      <c r="M109" s="330">
        <v>0</v>
      </c>
      <c r="N109" s="285">
        <v>0</v>
      </c>
      <c r="O109" s="286"/>
      <c r="P109" s="286"/>
      <c r="Q109" s="286"/>
      <c r="R109" s="286"/>
    </row>
    <row r="110" spans="1:20" ht="12.75">
      <c r="A110" s="102">
        <v>322</v>
      </c>
      <c r="B110" s="103"/>
      <c r="C110" s="317" t="s">
        <v>176</v>
      </c>
      <c r="D110" s="281">
        <v>0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  <c r="K110" s="282">
        <v>0</v>
      </c>
      <c r="L110" s="321">
        <v>0</v>
      </c>
      <c r="M110" s="330">
        <v>0</v>
      </c>
      <c r="N110" s="285">
        <v>0</v>
      </c>
      <c r="O110" s="286"/>
      <c r="P110" s="286"/>
      <c r="Q110" s="286"/>
      <c r="R110" s="286"/>
      <c r="S110" s="331"/>
      <c r="T110" s="332"/>
    </row>
    <row r="111" spans="1:18" ht="12.75">
      <c r="A111" s="102">
        <v>322</v>
      </c>
      <c r="B111" s="103"/>
      <c r="C111" s="317" t="s">
        <v>89</v>
      </c>
      <c r="D111" s="281">
        <v>0</v>
      </c>
      <c r="E111" s="333">
        <v>0</v>
      </c>
      <c r="F111" s="281">
        <v>0</v>
      </c>
      <c r="G111" s="333">
        <v>0</v>
      </c>
      <c r="H111" s="281">
        <v>0</v>
      </c>
      <c r="I111" s="333">
        <v>0</v>
      </c>
      <c r="J111" s="281">
        <v>0</v>
      </c>
      <c r="K111" s="334">
        <v>0</v>
      </c>
      <c r="L111" s="321">
        <v>85000</v>
      </c>
      <c r="M111" s="330">
        <v>0</v>
      </c>
      <c r="N111" s="335">
        <v>0</v>
      </c>
      <c r="O111" s="286"/>
      <c r="P111" s="286"/>
      <c r="Q111" s="286"/>
      <c r="R111" s="286"/>
    </row>
    <row r="112" spans="1:18" ht="12.75">
      <c r="A112" s="102">
        <v>322</v>
      </c>
      <c r="B112" s="103"/>
      <c r="C112" s="317" t="s">
        <v>177</v>
      </c>
      <c r="D112" s="281">
        <v>179660.04</v>
      </c>
      <c r="E112" s="281">
        <v>179660.04</v>
      </c>
      <c r="F112" s="281">
        <v>179660.04</v>
      </c>
      <c r="G112" s="281">
        <v>179660.04</v>
      </c>
      <c r="H112" s="281">
        <v>179660.04</v>
      </c>
      <c r="I112" s="281">
        <v>179660.04</v>
      </c>
      <c r="J112" s="281">
        <v>179660.04</v>
      </c>
      <c r="K112" s="318">
        <v>0</v>
      </c>
      <c r="L112" s="321">
        <v>0</v>
      </c>
      <c r="M112" s="330">
        <v>0</v>
      </c>
      <c r="N112" s="285">
        <v>0</v>
      </c>
      <c r="O112" s="286"/>
      <c r="P112" s="286"/>
      <c r="Q112" s="286"/>
      <c r="R112" s="286"/>
    </row>
    <row r="113" spans="1:18" ht="12.75">
      <c r="A113" s="102">
        <v>332</v>
      </c>
      <c r="B113" s="103"/>
      <c r="C113" s="317" t="s">
        <v>178</v>
      </c>
      <c r="D113" s="281">
        <v>200000</v>
      </c>
      <c r="E113" s="333">
        <v>119317.84</v>
      </c>
      <c r="F113" s="281">
        <v>200000</v>
      </c>
      <c r="G113" s="333">
        <v>119317.84</v>
      </c>
      <c r="H113" s="281">
        <v>200000</v>
      </c>
      <c r="I113" s="333">
        <v>119317.84</v>
      </c>
      <c r="J113" s="281">
        <v>200000</v>
      </c>
      <c r="K113" s="282">
        <v>108355.67</v>
      </c>
      <c r="L113" s="321">
        <v>0</v>
      </c>
      <c r="M113" s="330">
        <v>0</v>
      </c>
      <c r="N113" s="285">
        <v>0</v>
      </c>
      <c r="O113" s="286"/>
      <c r="P113" s="286"/>
      <c r="Q113" s="286"/>
      <c r="R113" s="286"/>
    </row>
    <row r="114" spans="1:18" ht="12.75">
      <c r="A114" s="102">
        <v>332</v>
      </c>
      <c r="B114" s="103"/>
      <c r="C114" s="104" t="s">
        <v>179</v>
      </c>
      <c r="D114" s="281">
        <v>34114.85</v>
      </c>
      <c r="E114" s="336">
        <v>34114.85</v>
      </c>
      <c r="F114" s="281">
        <v>34114.85</v>
      </c>
      <c r="G114" s="336">
        <v>34114.85</v>
      </c>
      <c r="H114" s="281">
        <v>34114.85</v>
      </c>
      <c r="I114" s="336">
        <v>34114.85</v>
      </c>
      <c r="J114" s="281">
        <v>34114.85</v>
      </c>
      <c r="K114" s="337">
        <v>0</v>
      </c>
      <c r="L114" s="124">
        <v>0</v>
      </c>
      <c r="M114" s="280">
        <v>0</v>
      </c>
      <c r="N114" s="335">
        <v>0</v>
      </c>
      <c r="O114" s="286"/>
      <c r="P114" s="286"/>
      <c r="Q114" s="286"/>
      <c r="R114" s="286"/>
    </row>
    <row r="115" spans="1:18" ht="12.75">
      <c r="A115" s="102">
        <v>322</v>
      </c>
      <c r="B115" s="103"/>
      <c r="C115" s="104" t="s">
        <v>180</v>
      </c>
      <c r="D115" s="281">
        <v>5000</v>
      </c>
      <c r="E115" s="281">
        <v>5000</v>
      </c>
      <c r="F115" s="281">
        <v>5000</v>
      </c>
      <c r="G115" s="281">
        <v>5000</v>
      </c>
      <c r="H115" s="281">
        <v>5000</v>
      </c>
      <c r="I115" s="281">
        <v>5000</v>
      </c>
      <c r="J115" s="281">
        <v>5000</v>
      </c>
      <c r="K115" s="282">
        <v>3000</v>
      </c>
      <c r="L115" s="124">
        <v>3000</v>
      </c>
      <c r="M115" s="280">
        <v>0</v>
      </c>
      <c r="N115" s="285">
        <v>0</v>
      </c>
      <c r="O115" s="286"/>
      <c r="P115" s="286"/>
      <c r="Q115" s="286"/>
      <c r="R115" s="286"/>
    </row>
    <row r="116" spans="1:18" ht="12.75">
      <c r="A116" s="102">
        <v>332</v>
      </c>
      <c r="B116" s="103"/>
      <c r="C116" s="104" t="s">
        <v>181</v>
      </c>
      <c r="D116" s="281">
        <v>0</v>
      </c>
      <c r="E116" s="281"/>
      <c r="F116" s="281">
        <v>0</v>
      </c>
      <c r="G116" s="281"/>
      <c r="H116" s="281">
        <v>0</v>
      </c>
      <c r="I116" s="281"/>
      <c r="J116" s="281">
        <v>0</v>
      </c>
      <c r="K116" s="282">
        <v>6365</v>
      </c>
      <c r="L116" s="1431">
        <v>450000</v>
      </c>
      <c r="M116" s="280">
        <v>0</v>
      </c>
      <c r="N116" s="285">
        <v>0</v>
      </c>
      <c r="O116" s="286"/>
      <c r="P116" s="286"/>
      <c r="Q116" s="286"/>
      <c r="R116" s="286"/>
    </row>
    <row r="117" spans="1:18" ht="12.75">
      <c r="A117" s="102">
        <v>332</v>
      </c>
      <c r="B117" s="103"/>
      <c r="C117" s="104" t="s">
        <v>182</v>
      </c>
      <c r="D117" s="281">
        <v>49875</v>
      </c>
      <c r="E117" s="281"/>
      <c r="F117" s="281">
        <v>49875</v>
      </c>
      <c r="G117" s="281"/>
      <c r="H117" s="281">
        <v>49875</v>
      </c>
      <c r="I117" s="281"/>
      <c r="J117" s="281">
        <v>0</v>
      </c>
      <c r="K117" s="282">
        <v>0</v>
      </c>
      <c r="L117" s="124">
        <v>0</v>
      </c>
      <c r="M117" s="280">
        <v>0</v>
      </c>
      <c r="N117" s="285">
        <v>0</v>
      </c>
      <c r="O117" s="286"/>
      <c r="P117" s="286"/>
      <c r="Q117" s="286"/>
      <c r="R117" s="286"/>
    </row>
    <row r="118" spans="1:18" ht="12.75">
      <c r="A118" s="102">
        <v>332</v>
      </c>
      <c r="B118" s="103"/>
      <c r="C118" s="104" t="s">
        <v>183</v>
      </c>
      <c r="D118" s="281">
        <v>0</v>
      </c>
      <c r="E118" s="333"/>
      <c r="F118" s="281">
        <v>0</v>
      </c>
      <c r="G118" s="333"/>
      <c r="H118" s="281">
        <v>0</v>
      </c>
      <c r="I118" s="333"/>
      <c r="J118" s="281">
        <v>0</v>
      </c>
      <c r="K118" s="282">
        <v>0</v>
      </c>
      <c r="L118" s="124">
        <v>190000</v>
      </c>
      <c r="M118" s="280">
        <v>0</v>
      </c>
      <c r="N118" s="285">
        <v>0</v>
      </c>
      <c r="O118" s="286"/>
      <c r="P118" s="286"/>
      <c r="Q118" s="286"/>
      <c r="R118" s="286"/>
    </row>
    <row r="119" spans="1:18" ht="12.75">
      <c r="A119" s="102">
        <v>239</v>
      </c>
      <c r="B119" s="103" t="s">
        <v>107</v>
      </c>
      <c r="C119" s="104" t="s">
        <v>184</v>
      </c>
      <c r="D119" s="281"/>
      <c r="E119" s="336"/>
      <c r="F119" s="281"/>
      <c r="G119" s="336"/>
      <c r="H119" s="281"/>
      <c r="I119" s="336"/>
      <c r="J119" s="281"/>
      <c r="K119" s="334">
        <v>2125</v>
      </c>
      <c r="L119" s="222">
        <v>0</v>
      </c>
      <c r="M119" s="338">
        <v>0</v>
      </c>
      <c r="N119" s="285">
        <v>0</v>
      </c>
      <c r="O119" s="286"/>
      <c r="P119" s="286"/>
      <c r="Q119" s="286"/>
      <c r="R119" s="286"/>
    </row>
    <row r="120" spans="1:18" ht="12.75">
      <c r="A120" s="1468" t="s">
        <v>169</v>
      </c>
      <c r="B120" s="1468"/>
      <c r="C120" s="1468"/>
      <c r="D120" s="339">
        <f>D112+D113+D114+D115+D117</f>
        <v>468649.89</v>
      </c>
      <c r="E120" s="339">
        <f>SUM(E109:E119)</f>
        <v>338092.73</v>
      </c>
      <c r="F120" s="339">
        <f>F112+F113+F114+F115+F117</f>
        <v>468649.89</v>
      </c>
      <c r="G120" s="339">
        <f>SUM(G109:G119)</f>
        <v>338092.73</v>
      </c>
      <c r="H120" s="339">
        <f>H112+H113+H114+H115+H117</f>
        <v>468649.89</v>
      </c>
      <c r="I120" s="339">
        <f>SUM(I109:I119)</f>
        <v>338092.73</v>
      </c>
      <c r="J120" s="339">
        <f>J112+J113+J114+J115+J117</f>
        <v>418774.89</v>
      </c>
      <c r="K120" s="340">
        <f>K109+K110+K111+K112+K113+K114+K115+K116+K117+K118+K119</f>
        <v>119845.67</v>
      </c>
      <c r="L120" s="298">
        <f>SUM(L109,L110,L111,L112,L113,L114,L115,L116,L117,L118,L119)</f>
        <v>728000</v>
      </c>
      <c r="M120" s="341">
        <f>SUM(M109,M110,M111,M112,M113,M114,M115,M116,M117,M118,M119)</f>
        <v>0</v>
      </c>
      <c r="N120" s="342">
        <f>N109+N110+N111+N112+N113+N114+N115+N116+N117+N118+N119</f>
        <v>0</v>
      </c>
      <c r="O120" s="328"/>
      <c r="P120" s="328"/>
      <c r="Q120" s="328"/>
      <c r="R120" s="328"/>
    </row>
    <row r="121" spans="1:18" ht="12.75">
      <c r="A121" s="301" t="s">
        <v>185</v>
      </c>
      <c r="B121" s="343"/>
      <c r="C121" s="303"/>
      <c r="D121" s="344">
        <f>SUM(D104,D120)</f>
        <v>471649.89</v>
      </c>
      <c r="E121" s="344">
        <f>E120+E104</f>
        <v>338092.73</v>
      </c>
      <c r="F121" s="344">
        <f>SUM(F104,F120)</f>
        <v>471649.89</v>
      </c>
      <c r="G121" s="344">
        <f>G120+G104</f>
        <v>338092.73</v>
      </c>
      <c r="H121" s="344">
        <f>SUM(H104,H120)</f>
        <v>471649.89</v>
      </c>
      <c r="I121" s="344">
        <f>I120+I104</f>
        <v>338092.73</v>
      </c>
      <c r="J121" s="344">
        <f>SUM(J104,J120)</f>
        <v>421774.89</v>
      </c>
      <c r="K121" s="345">
        <f>K104+K120</f>
        <v>126645.67</v>
      </c>
      <c r="L121" s="306">
        <f>SUM(L104,L120)</f>
        <v>738000</v>
      </c>
      <c r="M121" s="307">
        <f>SUM(M104,M120)</f>
        <v>0</v>
      </c>
      <c r="N121" s="344">
        <f>N104+N120</f>
        <v>0</v>
      </c>
      <c r="O121" s="346"/>
      <c r="P121" s="346"/>
      <c r="Q121" s="346"/>
      <c r="R121" s="346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2" ht="15.75">
      <c r="C132" s="54" t="s">
        <v>94</v>
      </c>
    </row>
    <row r="133" ht="15.75">
      <c r="C133" s="347"/>
    </row>
    <row r="134" spans="3:18" ht="15.75">
      <c r="C134" s="347"/>
      <c r="H134" s="348" t="s">
        <v>186</v>
      </c>
      <c r="I134" s="348"/>
      <c r="J134" s="348"/>
      <c r="K134" s="1470" t="s">
        <v>186</v>
      </c>
      <c r="L134" s="1470"/>
      <c r="M134" s="1470"/>
      <c r="N134" s="1470"/>
      <c r="O134" s="349"/>
      <c r="P134" s="349"/>
      <c r="Q134" s="349"/>
      <c r="R134" s="349"/>
    </row>
    <row r="136" spans="1:18" ht="51" customHeight="1">
      <c r="A136" s="61" t="s">
        <v>94</v>
      </c>
      <c r="B136" s="310"/>
      <c r="C136" s="311"/>
      <c r="D136" s="312" t="s">
        <v>171</v>
      </c>
      <c r="E136" s="313" t="s">
        <v>172</v>
      </c>
      <c r="F136" s="312" t="s">
        <v>171</v>
      </c>
      <c r="G136" s="313" t="s">
        <v>172</v>
      </c>
      <c r="H136" s="312" t="s">
        <v>171</v>
      </c>
      <c r="I136" s="313" t="s">
        <v>172</v>
      </c>
      <c r="J136" s="65">
        <v>2012</v>
      </c>
      <c r="K136" s="314">
        <v>2013</v>
      </c>
      <c r="L136" s="68">
        <v>2014</v>
      </c>
      <c r="M136" s="69">
        <v>2015</v>
      </c>
      <c r="N136" s="70">
        <v>2016</v>
      </c>
      <c r="O136" s="182"/>
      <c r="P136" s="182"/>
      <c r="Q136" s="182"/>
      <c r="R136" s="183"/>
    </row>
    <row r="137" spans="1:18" ht="12.75">
      <c r="A137" s="102">
        <v>453</v>
      </c>
      <c r="B137" s="103"/>
      <c r="C137" s="104" t="s">
        <v>187</v>
      </c>
      <c r="D137" s="333"/>
      <c r="E137" s="350"/>
      <c r="F137" s="333"/>
      <c r="G137" s="350"/>
      <c r="H137" s="333"/>
      <c r="I137" s="350"/>
      <c r="J137" s="333"/>
      <c r="K137" s="282">
        <v>0</v>
      </c>
      <c r="L137" s="124">
        <v>0</v>
      </c>
      <c r="M137" s="351">
        <v>0</v>
      </c>
      <c r="N137" s="335">
        <v>0</v>
      </c>
      <c r="O137" s="286"/>
      <c r="P137" s="286"/>
      <c r="Q137" s="286"/>
      <c r="R137" s="286"/>
    </row>
    <row r="138" spans="1:18" ht="12.75">
      <c r="A138" s="102">
        <v>454</v>
      </c>
      <c r="B138" s="103" t="s">
        <v>104</v>
      </c>
      <c r="C138" s="104" t="s">
        <v>188</v>
      </c>
      <c r="D138" s="333"/>
      <c r="E138" s="352"/>
      <c r="F138" s="333"/>
      <c r="G138" s="352"/>
      <c r="H138" s="333"/>
      <c r="I138" s="352"/>
      <c r="J138" s="333"/>
      <c r="K138" s="337">
        <v>0</v>
      </c>
      <c r="L138" s="124">
        <v>0</v>
      </c>
      <c r="M138" s="353">
        <v>0</v>
      </c>
      <c r="N138" s="354">
        <v>0</v>
      </c>
      <c r="O138" s="286"/>
      <c r="P138" s="286"/>
      <c r="Q138" s="286"/>
      <c r="R138" s="286"/>
    </row>
    <row r="139" spans="1:18" ht="12.75">
      <c r="A139" s="165">
        <v>454</v>
      </c>
      <c r="B139" s="228" t="s">
        <v>107</v>
      </c>
      <c r="C139" s="355" t="s">
        <v>189</v>
      </c>
      <c r="D139" s="333"/>
      <c r="E139" s="356"/>
      <c r="F139" s="333"/>
      <c r="G139" s="356"/>
      <c r="H139" s="333"/>
      <c r="I139" s="356"/>
      <c r="J139" s="333"/>
      <c r="K139" s="334">
        <v>0</v>
      </c>
      <c r="L139" s="109">
        <v>0</v>
      </c>
      <c r="M139" s="357">
        <v>0</v>
      </c>
      <c r="N139" s="358">
        <v>0</v>
      </c>
      <c r="O139" s="286"/>
      <c r="P139" s="286"/>
      <c r="Q139" s="286"/>
      <c r="R139" s="286"/>
    </row>
    <row r="140" spans="1:18" ht="12.75">
      <c r="A140" s="359" t="s">
        <v>190</v>
      </c>
      <c r="B140" s="360"/>
      <c r="C140" s="361"/>
      <c r="D140" s="323">
        <f>SUM(D137,D138,D139)</f>
        <v>0</v>
      </c>
      <c r="E140" s="362"/>
      <c r="F140" s="323">
        <f>SUM(F137,F138,F139)</f>
        <v>0</v>
      </c>
      <c r="G140" s="362"/>
      <c r="H140" s="323">
        <f>SUM(H137,H138,H139)</f>
        <v>0</v>
      </c>
      <c r="I140" s="362"/>
      <c r="J140" s="323">
        <f>SUM(J137,J138,J139)</f>
        <v>0</v>
      </c>
      <c r="K140" s="324">
        <f>K137+K138+K139</f>
        <v>0</v>
      </c>
      <c r="L140" s="325">
        <f>SUM(L137,L138,L139)</f>
        <v>0</v>
      </c>
      <c r="M140" s="363">
        <f>SUM(M137,M138,M139)</f>
        <v>0</v>
      </c>
      <c r="N140" s="327">
        <f>SUM(N137,N138,N139)</f>
        <v>0</v>
      </c>
      <c r="O140" s="328"/>
      <c r="P140" s="328"/>
      <c r="Q140" s="328"/>
      <c r="R140" s="328"/>
    </row>
    <row r="141" spans="1:11" ht="12.75">
      <c r="A141" s="143"/>
      <c r="B141" s="143"/>
      <c r="C141" s="143"/>
      <c r="D141" s="329"/>
      <c r="E141" s="329"/>
      <c r="F141" s="329"/>
      <c r="G141" s="364"/>
      <c r="H141" s="329"/>
      <c r="I141" s="329"/>
      <c r="J141" s="329"/>
      <c r="K141" s="180"/>
    </row>
    <row r="142" spans="1:18" ht="12.75">
      <c r="A142" s="143"/>
      <c r="B142" s="143"/>
      <c r="C142" s="143"/>
      <c r="D142" s="1471" t="s">
        <v>191</v>
      </c>
      <c r="E142" s="1471"/>
      <c r="F142" s="1471"/>
      <c r="G142" s="1471"/>
      <c r="H142" s="1471"/>
      <c r="I142" s="1471"/>
      <c r="J142" s="1471"/>
      <c r="K142" s="1471"/>
      <c r="L142" s="1471"/>
      <c r="M142" s="1471"/>
      <c r="N142" s="1471"/>
      <c r="O142" s="365"/>
      <c r="P142" s="365"/>
      <c r="Q142" s="365"/>
      <c r="R142" s="366"/>
    </row>
    <row r="143" spans="1:11" ht="12.75">
      <c r="A143" s="143"/>
      <c r="B143" s="143"/>
      <c r="C143" s="143"/>
      <c r="D143" s="329"/>
      <c r="E143" s="329"/>
      <c r="F143" s="329"/>
      <c r="G143" s="364"/>
      <c r="H143" s="329"/>
      <c r="I143" s="329"/>
      <c r="J143" s="329"/>
      <c r="K143" s="180"/>
    </row>
    <row r="144" spans="1:18" ht="38.25">
      <c r="A144" s="61" t="s">
        <v>94</v>
      </c>
      <c r="B144" s="310"/>
      <c r="C144" s="311"/>
      <c r="D144" s="312" t="s">
        <v>171</v>
      </c>
      <c r="E144" s="313" t="s">
        <v>172</v>
      </c>
      <c r="F144" s="312" t="s">
        <v>171</v>
      </c>
      <c r="G144" s="313" t="s">
        <v>172</v>
      </c>
      <c r="H144" s="312" t="s">
        <v>171</v>
      </c>
      <c r="I144" s="313" t="s">
        <v>172</v>
      </c>
      <c r="J144" s="66">
        <v>2012</v>
      </c>
      <c r="K144" s="242">
        <v>2013</v>
      </c>
      <c r="L144" s="68">
        <v>2014</v>
      </c>
      <c r="M144" s="316">
        <v>2015</v>
      </c>
      <c r="N144" s="70">
        <v>2016</v>
      </c>
      <c r="O144" s="182"/>
      <c r="P144" s="182"/>
      <c r="Q144" s="182"/>
      <c r="R144" s="183"/>
    </row>
    <row r="145" spans="1:18" ht="12.75">
      <c r="A145" s="102">
        <v>513</v>
      </c>
      <c r="B145" s="103" t="s">
        <v>107</v>
      </c>
      <c r="C145" s="104" t="s">
        <v>95</v>
      </c>
      <c r="D145" s="333">
        <v>310000</v>
      </c>
      <c r="E145" s="367">
        <v>240110.47</v>
      </c>
      <c r="F145" s="333">
        <v>310000</v>
      </c>
      <c r="G145" s="367">
        <v>240110.47</v>
      </c>
      <c r="H145" s="333">
        <v>310000</v>
      </c>
      <c r="I145" s="367">
        <v>240110.47</v>
      </c>
      <c r="J145" s="333">
        <v>310000</v>
      </c>
      <c r="K145" s="334">
        <v>0</v>
      </c>
      <c r="L145" s="124">
        <v>0</v>
      </c>
      <c r="M145" s="280">
        <v>0</v>
      </c>
      <c r="N145" s="368">
        <v>0</v>
      </c>
      <c r="O145" s="286"/>
      <c r="P145" s="286"/>
      <c r="Q145" s="286"/>
      <c r="R145" s="286"/>
    </row>
    <row r="146" spans="1:18" ht="12.75">
      <c r="A146" s="165">
        <v>514</v>
      </c>
      <c r="B146" s="228" t="s">
        <v>107</v>
      </c>
      <c r="C146" s="355" t="s">
        <v>192</v>
      </c>
      <c r="D146" s="336"/>
      <c r="E146" s="369">
        <v>0</v>
      </c>
      <c r="F146" s="336"/>
      <c r="G146" s="369">
        <v>0</v>
      </c>
      <c r="H146" s="336"/>
      <c r="I146" s="369">
        <v>0</v>
      </c>
      <c r="J146" s="336"/>
      <c r="K146" s="282">
        <v>0</v>
      </c>
      <c r="L146" s="109">
        <v>0</v>
      </c>
      <c r="M146" s="370">
        <v>0</v>
      </c>
      <c r="N146" s="358">
        <v>0</v>
      </c>
      <c r="O146" s="286"/>
      <c r="P146" s="286"/>
      <c r="Q146" s="286"/>
      <c r="R146" s="286"/>
    </row>
    <row r="147" spans="1:18" ht="12.75">
      <c r="A147" s="371" t="s">
        <v>193</v>
      </c>
      <c r="B147" s="372"/>
      <c r="C147" s="373"/>
      <c r="D147" s="339">
        <f>SUM(D145,D146)</f>
        <v>310000</v>
      </c>
      <c r="E147" s="339">
        <f>E145+E146</f>
        <v>240110.47</v>
      </c>
      <c r="F147" s="339">
        <f>SUM(F145,F146)</f>
        <v>310000</v>
      </c>
      <c r="G147" s="339">
        <f>G145+G146</f>
        <v>240110.47</v>
      </c>
      <c r="H147" s="339">
        <f>SUM(H145,H146)</f>
        <v>310000</v>
      </c>
      <c r="I147" s="339">
        <f>I145+I146</f>
        <v>240110.47</v>
      </c>
      <c r="J147" s="339">
        <f>SUM(J145,J146)</f>
        <v>310000</v>
      </c>
      <c r="K147" s="340">
        <f>K145+K146</f>
        <v>0</v>
      </c>
      <c r="L147" s="374">
        <v>0</v>
      </c>
      <c r="M147" s="375">
        <v>0</v>
      </c>
      <c r="N147" s="342">
        <v>0</v>
      </c>
      <c r="O147" s="328"/>
      <c r="P147" s="328"/>
      <c r="Q147" s="328"/>
      <c r="R147" s="328"/>
    </row>
    <row r="148" spans="1:18" ht="12.75">
      <c r="A148" s="301" t="s">
        <v>94</v>
      </c>
      <c r="B148" s="343"/>
      <c r="C148" s="303"/>
      <c r="D148" s="344">
        <f>SUM(D140,D147)</f>
        <v>310000</v>
      </c>
      <c r="E148" s="344">
        <f>E140+E147</f>
        <v>240110.47</v>
      </c>
      <c r="F148" s="344">
        <f>SUM(F140,F147)</f>
        <v>310000</v>
      </c>
      <c r="G148" s="344">
        <f>G140+G147</f>
        <v>240110.47</v>
      </c>
      <c r="H148" s="344">
        <f>SUM(H140,H147)</f>
        <v>310000</v>
      </c>
      <c r="I148" s="344">
        <f>I140+I147</f>
        <v>240110.47</v>
      </c>
      <c r="J148" s="344">
        <f>SUM(J140,J147)</f>
        <v>310000</v>
      </c>
      <c r="K148" s="345">
        <f>K140+K147</f>
        <v>0</v>
      </c>
      <c r="L148" s="306">
        <f>SUM(L140,L147)</f>
        <v>0</v>
      </c>
      <c r="M148" s="307">
        <f>SUM(M140,M147)</f>
        <v>0</v>
      </c>
      <c r="N148" s="344">
        <v>0</v>
      </c>
      <c r="O148" s="346"/>
      <c r="P148" s="346"/>
      <c r="Q148" s="346"/>
      <c r="R148" s="346"/>
    </row>
    <row r="149" spans="1:14" ht="12.75">
      <c r="A149" s="365"/>
      <c r="B149" s="51"/>
      <c r="C149" s="365"/>
      <c r="D149" s="365"/>
      <c r="E149" s="376"/>
      <c r="F149" s="365"/>
      <c r="G149" s="365"/>
      <c r="H149" s="376"/>
      <c r="I149" s="376"/>
      <c r="J149" s="376"/>
      <c r="K149" s="377"/>
      <c r="L149" s="51"/>
      <c r="M149" s="51"/>
      <c r="N149" s="255"/>
    </row>
    <row r="150" spans="1:14" ht="12.75">
      <c r="A150" s="365"/>
      <c r="B150" s="51"/>
      <c r="C150" s="365"/>
      <c r="D150" s="365"/>
      <c r="E150" s="376"/>
      <c r="F150" s="365"/>
      <c r="G150" s="365"/>
      <c r="H150" s="376"/>
      <c r="I150" s="376"/>
      <c r="J150" s="376"/>
      <c r="K150" s="377"/>
      <c r="L150" s="51"/>
      <c r="M150" s="51"/>
      <c r="N150" s="255"/>
    </row>
    <row r="151" spans="1:14" ht="12.75">
      <c r="A151" s="365"/>
      <c r="B151" s="51"/>
      <c r="C151" s="365"/>
      <c r="D151" s="365"/>
      <c r="E151" s="376"/>
      <c r="F151" s="365"/>
      <c r="G151" s="365"/>
      <c r="H151" s="376"/>
      <c r="I151" s="376"/>
      <c r="J151" s="376"/>
      <c r="K151" s="377"/>
      <c r="L151" s="51"/>
      <c r="M151" s="51"/>
      <c r="N151" s="255"/>
    </row>
    <row r="152" spans="1:11" ht="12.75">
      <c r="A152" s="143"/>
      <c r="B152" s="143"/>
      <c r="C152" s="143"/>
      <c r="D152" s="143"/>
      <c r="E152" s="143"/>
      <c r="F152" s="143"/>
      <c r="G152" s="378"/>
      <c r="H152" s="143"/>
      <c r="I152" s="143"/>
      <c r="J152" s="143"/>
      <c r="K152" s="180"/>
    </row>
    <row r="153" spans="1:12" ht="15.75">
      <c r="A153" s="143"/>
      <c r="B153" s="143"/>
      <c r="C153" s="54" t="s">
        <v>194</v>
      </c>
      <c r="D153" s="379"/>
      <c r="E153" s="143"/>
      <c r="F153" s="143"/>
      <c r="G153" s="378"/>
      <c r="H153" s="143"/>
      <c r="I153" s="143"/>
      <c r="J153" s="379"/>
      <c r="K153" s="380"/>
      <c r="L153" s="381"/>
    </row>
    <row r="154" spans="1:11" ht="12.75">
      <c r="A154" s="143"/>
      <c r="B154" s="143"/>
      <c r="C154" s="143"/>
      <c r="D154" s="143"/>
      <c r="E154" s="143"/>
      <c r="F154" s="143"/>
      <c r="G154" s="378"/>
      <c r="H154" s="143"/>
      <c r="I154" s="143"/>
      <c r="J154" s="143"/>
      <c r="K154" s="180"/>
    </row>
    <row r="155" spans="1:18" ht="38.25">
      <c r="A155" s="61"/>
      <c r="B155" s="310"/>
      <c r="C155" s="311"/>
      <c r="D155" s="312" t="s">
        <v>171</v>
      </c>
      <c r="E155" s="313" t="s">
        <v>172</v>
      </c>
      <c r="F155" s="312" t="s">
        <v>171</v>
      </c>
      <c r="G155" s="313" t="s">
        <v>172</v>
      </c>
      <c r="H155" s="312" t="s">
        <v>171</v>
      </c>
      <c r="I155" s="313" t="s">
        <v>172</v>
      </c>
      <c r="J155" s="65">
        <v>2012</v>
      </c>
      <c r="K155" s="382">
        <v>2013</v>
      </c>
      <c r="L155" s="315">
        <v>2014</v>
      </c>
      <c r="M155" s="316">
        <v>2015</v>
      </c>
      <c r="N155" s="70">
        <v>2016</v>
      </c>
      <c r="O155" s="182"/>
      <c r="P155" s="182"/>
      <c r="Q155" s="182"/>
      <c r="R155" s="183"/>
    </row>
    <row r="156" spans="1:18" ht="12.75">
      <c r="A156" s="1472" t="s">
        <v>195</v>
      </c>
      <c r="B156" s="1472"/>
      <c r="C156" s="1472"/>
      <c r="D156" s="281"/>
      <c r="E156" s="383"/>
      <c r="F156" s="281"/>
      <c r="G156" s="383"/>
      <c r="H156" s="281"/>
      <c r="I156" s="383"/>
      <c r="J156" s="281">
        <v>0</v>
      </c>
      <c r="K156" s="318">
        <v>0</v>
      </c>
      <c r="L156" s="319">
        <v>0</v>
      </c>
      <c r="M156" s="330">
        <v>0</v>
      </c>
      <c r="N156" s="285">
        <v>0</v>
      </c>
      <c r="O156" s="286"/>
      <c r="P156" s="286"/>
      <c r="Q156" s="286"/>
      <c r="R156" s="286"/>
    </row>
    <row r="157" spans="1:18" ht="12.75">
      <c r="A157" s="1472" t="s">
        <v>196</v>
      </c>
      <c r="B157" s="1472"/>
      <c r="C157" s="1472"/>
      <c r="D157" s="281"/>
      <c r="E157" s="383"/>
      <c r="F157" s="281"/>
      <c r="G157" s="383"/>
      <c r="H157" s="281"/>
      <c r="I157" s="383"/>
      <c r="J157" s="281">
        <v>0</v>
      </c>
      <c r="K157" s="318">
        <v>0</v>
      </c>
      <c r="L157" s="321">
        <v>0</v>
      </c>
      <c r="M157" s="330">
        <v>0</v>
      </c>
      <c r="N157" s="285">
        <v>0</v>
      </c>
      <c r="O157" s="286"/>
      <c r="P157" s="286"/>
      <c r="Q157" s="286"/>
      <c r="R157" s="286"/>
    </row>
    <row r="158" spans="1:18" ht="12.75">
      <c r="A158" s="1469" t="s">
        <v>197</v>
      </c>
      <c r="B158" s="1469"/>
      <c r="C158" s="1469"/>
      <c r="D158" s="384"/>
      <c r="E158" s="134"/>
      <c r="F158" s="384"/>
      <c r="G158" s="134"/>
      <c r="H158" s="384"/>
      <c r="I158" s="134"/>
      <c r="J158" s="384">
        <v>0</v>
      </c>
      <c r="K158" s="385">
        <v>0</v>
      </c>
      <c r="L158" s="386">
        <v>0</v>
      </c>
      <c r="M158" s="387">
        <v>0</v>
      </c>
      <c r="N158" s="388">
        <v>0</v>
      </c>
      <c r="O158" s="286"/>
      <c r="P158" s="286"/>
      <c r="Q158" s="286"/>
      <c r="R158" s="286"/>
    </row>
    <row r="159" spans="1:18" ht="12.75">
      <c r="A159" s="389" t="s">
        <v>194</v>
      </c>
      <c r="B159" s="390"/>
      <c r="C159" s="391"/>
      <c r="D159" s="392">
        <f>SUM(D156,D157,D158)</f>
        <v>0</v>
      </c>
      <c r="E159" s="393"/>
      <c r="F159" s="392">
        <f>SUM(F156,F157,F158)</f>
        <v>0</v>
      </c>
      <c r="G159" s="393"/>
      <c r="H159" s="392">
        <f>SUM(H156,H157,H158)</f>
        <v>0</v>
      </c>
      <c r="I159" s="393"/>
      <c r="J159" s="392">
        <f>SUM(J156,J157,J158)</f>
        <v>0</v>
      </c>
      <c r="K159" s="392">
        <f>SUM(K156,K157,K158)</f>
        <v>0</v>
      </c>
      <c r="L159" s="392">
        <f>L156+L157+L158</f>
        <v>0</v>
      </c>
      <c r="M159" s="394">
        <v>0</v>
      </c>
      <c r="N159" s="395">
        <v>0</v>
      </c>
      <c r="O159" s="346"/>
      <c r="P159" s="346"/>
      <c r="Q159" s="346"/>
      <c r="R159" s="346"/>
    </row>
    <row r="160" spans="1:11" ht="12.75">
      <c r="A160" s="143"/>
      <c r="B160" s="143"/>
      <c r="C160" s="143"/>
      <c r="D160" s="143"/>
      <c r="E160" s="143"/>
      <c r="F160" s="143"/>
      <c r="G160" s="378"/>
      <c r="H160" s="143"/>
      <c r="I160" s="143"/>
      <c r="J160" s="143"/>
      <c r="K160" s="180"/>
    </row>
    <row r="161" spans="1:11" ht="12.75">
      <c r="A161" s="143"/>
      <c r="B161" s="143"/>
      <c r="C161" s="143"/>
      <c r="D161" s="143"/>
      <c r="E161" s="143"/>
      <c r="F161" s="143"/>
      <c r="G161" s="378"/>
      <c r="H161" s="143"/>
      <c r="I161" s="143"/>
      <c r="J161" s="143"/>
      <c r="K161" s="180"/>
    </row>
    <row r="162" spans="1:11" ht="12.75">
      <c r="A162" s="143"/>
      <c r="B162" s="143"/>
      <c r="C162" s="143"/>
      <c r="D162" s="143"/>
      <c r="E162" s="143"/>
      <c r="F162" s="143"/>
      <c r="G162" s="378"/>
      <c r="H162" s="143"/>
      <c r="I162" s="143"/>
      <c r="J162" s="143"/>
      <c r="K162" s="180"/>
    </row>
    <row r="163" spans="1:11" ht="12.75">
      <c r="A163" s="143"/>
      <c r="B163" s="143"/>
      <c r="C163" s="143"/>
      <c r="D163" s="143"/>
      <c r="E163" s="143"/>
      <c r="F163" s="143"/>
      <c r="G163" s="378"/>
      <c r="H163" s="143"/>
      <c r="I163" s="143"/>
      <c r="J163" s="143"/>
      <c r="K163" s="180"/>
    </row>
    <row r="164" spans="1:11" ht="12.75">
      <c r="A164" s="143"/>
      <c r="B164" s="143"/>
      <c r="C164" s="143"/>
      <c r="D164" s="143"/>
      <c r="E164" s="143"/>
      <c r="F164" s="143"/>
      <c r="G164" s="378"/>
      <c r="H164" s="143"/>
      <c r="I164" s="143"/>
      <c r="J164" s="143"/>
      <c r="K164" s="180"/>
    </row>
    <row r="165" spans="1:11" ht="12.75">
      <c r="A165" s="143"/>
      <c r="B165" s="143"/>
      <c r="C165" s="143"/>
      <c r="D165" s="143"/>
      <c r="E165" s="143"/>
      <c r="F165" s="143"/>
      <c r="G165" s="378"/>
      <c r="H165" s="143"/>
      <c r="I165" s="143"/>
      <c r="J165" s="143"/>
      <c r="K165" s="180"/>
    </row>
    <row r="166" spans="1:11" ht="12.75">
      <c r="A166" s="143"/>
      <c r="B166" s="143"/>
      <c r="C166" s="143"/>
      <c r="D166" s="143"/>
      <c r="E166" s="143"/>
      <c r="F166" s="143"/>
      <c r="G166" s="378"/>
      <c r="H166" s="143"/>
      <c r="I166" s="143"/>
      <c r="J166" s="143"/>
      <c r="K166" s="180"/>
    </row>
    <row r="167" spans="1:18" ht="38.25">
      <c r="A167" s="61" t="s">
        <v>198</v>
      </c>
      <c r="B167" s="310"/>
      <c r="C167" s="311"/>
      <c r="D167" s="312" t="s">
        <v>171</v>
      </c>
      <c r="E167" s="313" t="s">
        <v>172</v>
      </c>
      <c r="F167" s="312" t="s">
        <v>171</v>
      </c>
      <c r="G167" s="313" t="s">
        <v>172</v>
      </c>
      <c r="H167" s="312" t="s">
        <v>171</v>
      </c>
      <c r="I167" s="313" t="s">
        <v>172</v>
      </c>
      <c r="J167" s="65">
        <v>2012</v>
      </c>
      <c r="K167" s="382">
        <v>2013</v>
      </c>
      <c r="L167" s="315">
        <v>2014</v>
      </c>
      <c r="M167" s="316">
        <v>2015</v>
      </c>
      <c r="N167" s="70">
        <v>2016</v>
      </c>
      <c r="O167" s="182"/>
      <c r="P167" s="182"/>
      <c r="Q167" s="182"/>
      <c r="R167" s="183"/>
    </row>
    <row r="168" spans="1:19" ht="12.75">
      <c r="A168" s="396" t="s">
        <v>1</v>
      </c>
      <c r="B168" s="397"/>
      <c r="C168" s="398"/>
      <c r="D168" s="281">
        <f aca="true" t="shared" si="0" ref="D168:L168">D90</f>
        <v>0</v>
      </c>
      <c r="E168" s="281">
        <f t="shared" si="0"/>
        <v>0</v>
      </c>
      <c r="F168" s="281">
        <f t="shared" si="0"/>
        <v>0</v>
      </c>
      <c r="G168" s="281">
        <f t="shared" si="0"/>
        <v>0</v>
      </c>
      <c r="H168" s="281">
        <f t="shared" si="0"/>
        <v>0</v>
      </c>
      <c r="I168" s="281">
        <f t="shared" si="0"/>
        <v>0</v>
      </c>
      <c r="J168" s="281">
        <f t="shared" si="0"/>
        <v>1370550.23</v>
      </c>
      <c r="K168" s="318">
        <f t="shared" si="0"/>
        <v>1434963.77</v>
      </c>
      <c r="L168" s="319">
        <f t="shared" si="0"/>
        <v>1518953</v>
      </c>
      <c r="M168" s="280">
        <f>SUM(M90)</f>
        <v>1492453</v>
      </c>
      <c r="N168" s="285">
        <f>SUM(N90)</f>
        <v>1486160</v>
      </c>
      <c r="O168" s="286"/>
      <c r="P168" s="286"/>
      <c r="Q168" s="286"/>
      <c r="R168" s="286"/>
      <c r="S168" s="399"/>
    </row>
    <row r="169" spans="1:18" ht="12.75">
      <c r="A169" s="396" t="s">
        <v>83</v>
      </c>
      <c r="B169" s="397"/>
      <c r="C169" s="398"/>
      <c r="D169" s="281">
        <f aca="true" t="shared" si="1" ref="D169:L169">D121</f>
        <v>471649.89</v>
      </c>
      <c r="E169" s="281">
        <f t="shared" si="1"/>
        <v>338092.73</v>
      </c>
      <c r="F169" s="281">
        <f t="shared" si="1"/>
        <v>471649.89</v>
      </c>
      <c r="G169" s="281">
        <f t="shared" si="1"/>
        <v>338092.73</v>
      </c>
      <c r="H169" s="281">
        <f t="shared" si="1"/>
        <v>471649.89</v>
      </c>
      <c r="I169" s="281">
        <f t="shared" si="1"/>
        <v>338092.73</v>
      </c>
      <c r="J169" s="281">
        <f t="shared" si="1"/>
        <v>421774.89</v>
      </c>
      <c r="K169" s="318">
        <f t="shared" si="1"/>
        <v>126645.67</v>
      </c>
      <c r="L169" s="319">
        <f t="shared" si="1"/>
        <v>738000</v>
      </c>
      <c r="M169" s="280">
        <f>SUM(M121)</f>
        <v>0</v>
      </c>
      <c r="N169" s="285">
        <f>SUM(N121)</f>
        <v>0</v>
      </c>
      <c r="O169" s="286"/>
      <c r="P169" s="286"/>
      <c r="Q169" s="286"/>
      <c r="R169" s="286"/>
    </row>
    <row r="170" spans="1:19" ht="12.75">
      <c r="A170" s="396" t="s">
        <v>94</v>
      </c>
      <c r="B170" s="397"/>
      <c r="C170" s="398"/>
      <c r="D170" s="333">
        <f aca="true" t="shared" si="2" ref="D170:L170">D148</f>
        <v>310000</v>
      </c>
      <c r="E170" s="333">
        <f t="shared" si="2"/>
        <v>240110.47</v>
      </c>
      <c r="F170" s="333">
        <f t="shared" si="2"/>
        <v>310000</v>
      </c>
      <c r="G170" s="333">
        <f t="shared" si="2"/>
        <v>240110.47</v>
      </c>
      <c r="H170" s="333">
        <f t="shared" si="2"/>
        <v>310000</v>
      </c>
      <c r="I170" s="333">
        <f t="shared" si="2"/>
        <v>240110.47</v>
      </c>
      <c r="J170" s="333">
        <f t="shared" si="2"/>
        <v>310000</v>
      </c>
      <c r="K170" s="282">
        <f t="shared" si="2"/>
        <v>0</v>
      </c>
      <c r="L170" s="321">
        <f t="shared" si="2"/>
        <v>0</v>
      </c>
      <c r="M170" s="280">
        <f>SUM(M148)</f>
        <v>0</v>
      </c>
      <c r="N170" s="335">
        <f>SUM(N148)</f>
        <v>0</v>
      </c>
      <c r="O170" s="286"/>
      <c r="P170" s="286"/>
      <c r="Q170" s="286"/>
      <c r="R170" s="286"/>
      <c r="S170" s="400"/>
    </row>
    <row r="171" spans="1:18" ht="12.75">
      <c r="A171" s="396" t="s">
        <v>194</v>
      </c>
      <c r="B171" s="397"/>
      <c r="C171" s="398"/>
      <c r="D171" s="401">
        <f aca="true" t="shared" si="3" ref="D171:L171">D159</f>
        <v>0</v>
      </c>
      <c r="E171" s="401">
        <f t="shared" si="3"/>
        <v>0</v>
      </c>
      <c r="F171" s="401">
        <f t="shared" si="3"/>
        <v>0</v>
      </c>
      <c r="G171" s="401">
        <f t="shared" si="3"/>
        <v>0</v>
      </c>
      <c r="H171" s="401">
        <f t="shared" si="3"/>
        <v>0</v>
      </c>
      <c r="I171" s="401">
        <f t="shared" si="3"/>
        <v>0</v>
      </c>
      <c r="J171" s="401">
        <f t="shared" si="3"/>
        <v>0</v>
      </c>
      <c r="K171" s="337">
        <f t="shared" si="3"/>
        <v>0</v>
      </c>
      <c r="L171" s="402">
        <f t="shared" si="3"/>
        <v>0</v>
      </c>
      <c r="M171" s="280">
        <v>0</v>
      </c>
      <c r="N171" s="354">
        <v>0</v>
      </c>
      <c r="O171" s="286"/>
      <c r="P171" s="286"/>
      <c r="Q171" s="286"/>
      <c r="R171" s="286"/>
    </row>
    <row r="172" spans="1:18" ht="12.75">
      <c r="A172" s="403" t="s">
        <v>199</v>
      </c>
      <c r="B172" s="404"/>
      <c r="C172" s="405"/>
      <c r="D172" s="406">
        <f>SUM(D168,D169,D170,D171)</f>
        <v>781649.89</v>
      </c>
      <c r="E172" s="406">
        <f>E168+E169+E170+E171</f>
        <v>578203.2</v>
      </c>
      <c r="F172" s="406">
        <f>SUM(F168,F169,F170,F171)</f>
        <v>781649.89</v>
      </c>
      <c r="G172" s="406">
        <f>G168+G169+G170+G171</f>
        <v>578203.2</v>
      </c>
      <c r="H172" s="406">
        <f>SUM(H168,H169,H170,H171)</f>
        <v>781649.89</v>
      </c>
      <c r="I172" s="406">
        <f>I168+I169+I170+I171</f>
        <v>578203.2</v>
      </c>
      <c r="J172" s="406">
        <f>SUM(J168,J169,J170,J171)</f>
        <v>2102325.12</v>
      </c>
      <c r="K172" s="407">
        <f>SUM(K168,K169,K170,K171)</f>
        <v>1561609.44</v>
      </c>
      <c r="L172" s="408">
        <f>L168+L169+L170+L171</f>
        <v>2256953</v>
      </c>
      <c r="M172" s="409">
        <f>SUM(M168,M169,M170,M171)</f>
        <v>1492453</v>
      </c>
      <c r="N172" s="410">
        <f>SUM(N168,N169,N170,N171)</f>
        <v>1486160</v>
      </c>
      <c r="O172" s="286"/>
      <c r="P172" s="286"/>
      <c r="Q172" s="286"/>
      <c r="R172" s="286"/>
    </row>
  </sheetData>
  <mergeCells count="17">
    <mergeCell ref="A158:C158"/>
    <mergeCell ref="K134:N134"/>
    <mergeCell ref="D142:N142"/>
    <mergeCell ref="A156:C156"/>
    <mergeCell ref="A157:C157"/>
    <mergeCell ref="K99:N99"/>
    <mergeCell ref="A104:C104"/>
    <mergeCell ref="K106:N106"/>
    <mergeCell ref="A120:C120"/>
    <mergeCell ref="K29:N29"/>
    <mergeCell ref="A58:C58"/>
    <mergeCell ref="K61:N61"/>
    <mergeCell ref="A89:C89"/>
    <mergeCell ref="A2:N2"/>
    <mergeCell ref="A5:E5"/>
    <mergeCell ref="K5:N5"/>
    <mergeCell ref="A26:C26"/>
  </mergeCells>
  <printOptions/>
  <pageMargins left="0.7479166666666667" right="0.19652777777777777" top="0.5909722222222222" bottom="0.5902777777777779" header="0.31527777777777777" footer="0.5118055555555556"/>
  <pageSetup horizontalDpi="300" verticalDpi="300" orientation="portrait" paperSize="9" scale="95" r:id="rId1"/>
  <headerFooter alignWithMargins="0">
    <oddHeader>&amp;CROZPOČET OBCE TEKOVSKÉ LUŽANY NA ROK  2014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J67" sqref="J67"/>
    </sheetView>
  </sheetViews>
  <sheetFormatPr defaultColWidth="9.140625" defaultRowHeight="12.75"/>
  <cols>
    <col min="1" max="1" width="3.57421875" style="411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412" customWidth="1"/>
    <col min="7" max="7" width="0" style="413" hidden="1" customWidth="1"/>
    <col min="8" max="9" width="9.140625" style="413" customWidth="1"/>
    <col min="10" max="10" width="8.421875" style="414" customWidth="1"/>
    <col min="11" max="12" width="8.421875" style="0" customWidth="1"/>
  </cols>
  <sheetData>
    <row r="1" spans="2:12" ht="15.75">
      <c r="B1" s="415" t="s">
        <v>200</v>
      </c>
      <c r="E1" s="415" t="s">
        <v>201</v>
      </c>
      <c r="G1" s="416" t="e">
        <f>#REF!-G7</f>
        <v>#REF!</v>
      </c>
      <c r="H1" s="416"/>
      <c r="I1" s="416"/>
      <c r="J1" s="417"/>
      <c r="K1" s="417"/>
      <c r="L1" s="417"/>
    </row>
    <row r="2" spans="1:12" ht="12.75">
      <c r="A2" s="418"/>
      <c r="B2" s="419"/>
      <c r="C2" s="420"/>
      <c r="D2" s="420"/>
      <c r="E2" s="421"/>
      <c r="F2" s="422"/>
      <c r="G2" s="416" t="e">
        <f>SUM(G8:G10)</f>
        <v>#REF!</v>
      </c>
      <c r="H2" s="416"/>
      <c r="I2" s="416"/>
      <c r="J2" s="423">
        <f>SUM(J8:J10)</f>
        <v>348369</v>
      </c>
      <c r="K2" s="423">
        <f>SUM(K8:K10)</f>
        <v>201734.23</v>
      </c>
      <c r="L2" s="423">
        <f>SUM(L8:L10)</f>
        <v>171685</v>
      </c>
    </row>
    <row r="3" spans="1:12" ht="16.5" customHeight="1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2" customHeight="1">
      <c r="A4" s="429"/>
      <c r="B4" s="430" t="s">
        <v>203</v>
      </c>
      <c r="C4" s="431" t="s">
        <v>204</v>
      </c>
      <c r="D4" s="1474" t="s">
        <v>205</v>
      </c>
      <c r="E4" s="1474"/>
      <c r="F4" s="1474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2" customHeight="1">
      <c r="A5" s="429"/>
      <c r="B5" s="430" t="s">
        <v>206</v>
      </c>
      <c r="C5" s="431" t="s">
        <v>207</v>
      </c>
      <c r="D5" s="1474"/>
      <c r="E5" s="1474"/>
      <c r="F5" s="1474"/>
      <c r="G5" s="434" t="s">
        <v>208</v>
      </c>
      <c r="H5" s="435" t="s">
        <v>209</v>
      </c>
      <c r="I5" s="435" t="s">
        <v>209</v>
      </c>
      <c r="J5" s="435" t="s">
        <v>209</v>
      </c>
      <c r="K5" s="436" t="s">
        <v>210</v>
      </c>
      <c r="L5" s="436" t="s">
        <v>210</v>
      </c>
    </row>
    <row r="6" spans="1:12" ht="15" customHeight="1">
      <c r="A6" s="429"/>
      <c r="B6" s="430" t="s">
        <v>211</v>
      </c>
      <c r="C6" s="431" t="s">
        <v>212</v>
      </c>
      <c r="D6" s="1474"/>
      <c r="E6" s="1474"/>
      <c r="F6" s="1474"/>
      <c r="G6" s="437">
        <v>1</v>
      </c>
      <c r="H6" s="437">
        <v>-2</v>
      </c>
      <c r="I6" s="437">
        <v>-1</v>
      </c>
      <c r="J6" s="438">
        <v>1</v>
      </c>
      <c r="K6" s="439">
        <v>2</v>
      </c>
      <c r="L6" s="439">
        <v>3</v>
      </c>
    </row>
    <row r="7" spans="1:12" ht="15">
      <c r="A7" s="440">
        <v>1</v>
      </c>
      <c r="B7" s="441" t="s">
        <v>213</v>
      </c>
      <c r="C7" s="442"/>
      <c r="D7" s="443"/>
      <c r="E7" s="443" t="s">
        <v>201</v>
      </c>
      <c r="F7" s="444"/>
      <c r="G7" s="445" t="e">
        <f>G11+#REF!+#REF!+#REF!+#REF!+#REF!+#REF!</f>
        <v>#REF!</v>
      </c>
      <c r="H7" s="446">
        <f>SUM(H8:H10)</f>
        <v>380876.47</v>
      </c>
      <c r="I7" s="446">
        <f>SUM(I8:I10)</f>
        <v>311215.67</v>
      </c>
      <c r="J7" s="446">
        <f>SUM(J8:J10)</f>
        <v>348369</v>
      </c>
      <c r="K7" s="446">
        <f>SUM(K8:K10)</f>
        <v>201734.23</v>
      </c>
      <c r="L7" s="446">
        <f>SUM(L8:L10)</f>
        <v>171685</v>
      </c>
    </row>
    <row r="8" spans="1:12" ht="12.75">
      <c r="A8" s="447">
        <f aca="true" t="shared" si="0" ref="A8:A23">A7+1</f>
        <v>2</v>
      </c>
      <c r="B8" s="448" t="s">
        <v>214</v>
      </c>
      <c r="C8" s="449" t="s">
        <v>215</v>
      </c>
      <c r="D8" s="450"/>
      <c r="E8" s="451"/>
      <c r="F8" s="452"/>
      <c r="G8" s="453" t="e">
        <f>G43+G46+#REF!+#REF!+#REF!+#REF!+#REF!+#REF!+G48</f>
        <v>#REF!</v>
      </c>
      <c r="H8" s="454">
        <f>SUM(H13,H28,H36,H41,H54,H63)</f>
        <v>182881.3</v>
      </c>
      <c r="I8" s="454">
        <f>SUM(I13,I28,I36,I41,I54,I63)</f>
        <v>186653.9</v>
      </c>
      <c r="J8" s="454">
        <f>SUM(J13,J28,J36,J41,J54,J63)</f>
        <v>193165</v>
      </c>
      <c r="K8" s="454">
        <f>SUM(K13,K28,K36,K41,K54,K63)</f>
        <v>171285</v>
      </c>
      <c r="L8" s="454">
        <f>SUM(L13,L28,L36,L41,L54,L63)</f>
        <v>171685</v>
      </c>
    </row>
    <row r="9" spans="1:12" ht="12.75">
      <c r="A9" s="447">
        <f t="shared" si="0"/>
        <v>3</v>
      </c>
      <c r="B9" s="448" t="s">
        <v>216</v>
      </c>
      <c r="C9" s="449" t="s">
        <v>217</v>
      </c>
      <c r="D9" s="450"/>
      <c r="E9" s="451"/>
      <c r="F9" s="452"/>
      <c r="G9" s="453" t="e">
        <f>#REF!</f>
        <v>#REF!</v>
      </c>
      <c r="H9" s="454">
        <f>SUM(H24)</f>
        <v>3200</v>
      </c>
      <c r="I9" s="454">
        <f>SUM(I24)</f>
        <v>0</v>
      </c>
      <c r="J9" s="454">
        <f>SUM(J24)</f>
        <v>0</v>
      </c>
      <c r="K9" s="454">
        <f>SUM(K24)</f>
        <v>0</v>
      </c>
      <c r="L9" s="454">
        <f>SUM(L24)</f>
        <v>0</v>
      </c>
    </row>
    <row r="10" spans="1:12" ht="12.75">
      <c r="A10" s="447">
        <f t="shared" si="0"/>
        <v>4</v>
      </c>
      <c r="B10" s="455"/>
      <c r="C10" s="456" t="s">
        <v>218</v>
      </c>
      <c r="D10" s="457"/>
      <c r="E10" s="458"/>
      <c r="F10" s="459"/>
      <c r="G10" s="460">
        <v>0</v>
      </c>
      <c r="H10" s="454">
        <f>H49</f>
        <v>194795.17</v>
      </c>
      <c r="I10" s="454">
        <f>I49</f>
        <v>124561.77</v>
      </c>
      <c r="J10" s="454">
        <f>J49</f>
        <v>155204</v>
      </c>
      <c r="K10" s="461">
        <f>K49</f>
        <v>30449.23</v>
      </c>
      <c r="L10" s="461">
        <f>L49</f>
        <v>0</v>
      </c>
    </row>
    <row r="11" spans="1:12" ht="12.75">
      <c r="A11" s="447">
        <f t="shared" si="0"/>
        <v>5</v>
      </c>
      <c r="B11" s="462">
        <v>1</v>
      </c>
      <c r="C11" s="463" t="s">
        <v>219</v>
      </c>
      <c r="D11" s="464"/>
      <c r="E11" s="464"/>
      <c r="F11" s="465"/>
      <c r="G11" s="466">
        <f>G12+G45+G47</f>
        <v>0</v>
      </c>
      <c r="H11" s="467">
        <f>SUM(H12+H27)</f>
        <v>156646.3</v>
      </c>
      <c r="I11" s="467">
        <f>SUM(I12+I27)</f>
        <v>155619</v>
      </c>
      <c r="J11" s="467">
        <f>SUM(J12+J27)</f>
        <v>158850</v>
      </c>
      <c r="K11" s="468">
        <f>SUM(K12+K27)</f>
        <v>154970</v>
      </c>
      <c r="L11" s="468">
        <f>SUM(L12+L27)</f>
        <v>155370</v>
      </c>
    </row>
    <row r="12" spans="1:12" s="476" customFormat="1" ht="12.75">
      <c r="A12" s="447">
        <f t="shared" si="0"/>
        <v>6</v>
      </c>
      <c r="B12" s="469"/>
      <c r="C12" s="470" t="s">
        <v>220</v>
      </c>
      <c r="D12" s="471" t="s">
        <v>221</v>
      </c>
      <c r="E12" s="472"/>
      <c r="F12" s="473"/>
      <c r="G12" s="474">
        <f>G44</f>
        <v>0</v>
      </c>
      <c r="H12" s="475">
        <f>SUM(H13+H24)</f>
        <v>145626.3</v>
      </c>
      <c r="I12" s="475">
        <f>SUM(I13+I24)</f>
        <v>142069</v>
      </c>
      <c r="J12" s="475">
        <f>SUM(J13+J24)</f>
        <v>145350</v>
      </c>
      <c r="K12" s="475">
        <f>SUM(K13+K24)</f>
        <v>141070</v>
      </c>
      <c r="L12" s="475">
        <f>SUM(L13+L24)</f>
        <v>141070</v>
      </c>
    </row>
    <row r="13" spans="1:12" ht="12.75">
      <c r="A13" s="447">
        <f t="shared" si="0"/>
        <v>7</v>
      </c>
      <c r="B13" s="477"/>
      <c r="C13" s="478"/>
      <c r="D13" s="451" t="s">
        <v>215</v>
      </c>
      <c r="E13" s="479"/>
      <c r="F13" s="480"/>
      <c r="G13" s="481">
        <f aca="true" t="shared" si="1" ref="G13:L13">G14</f>
        <v>6430.5</v>
      </c>
      <c r="H13" s="482">
        <f t="shared" si="1"/>
        <v>142426.3</v>
      </c>
      <c r="I13" s="482">
        <f t="shared" si="1"/>
        <v>142069</v>
      </c>
      <c r="J13" s="482">
        <f t="shared" si="1"/>
        <v>145350</v>
      </c>
      <c r="K13" s="482">
        <f t="shared" si="1"/>
        <v>141070</v>
      </c>
      <c r="L13" s="482">
        <f t="shared" si="1"/>
        <v>141070</v>
      </c>
    </row>
    <row r="14" spans="1:12" ht="12.75">
      <c r="A14" s="447">
        <f t="shared" si="0"/>
        <v>8</v>
      </c>
      <c r="B14" s="483"/>
      <c r="C14" s="484" t="s">
        <v>222</v>
      </c>
      <c r="D14" s="485" t="s">
        <v>223</v>
      </c>
      <c r="E14" s="486"/>
      <c r="F14" s="487"/>
      <c r="G14" s="488">
        <f>SUM(G15:G36)</f>
        <v>6430.5</v>
      </c>
      <c r="H14" s="489">
        <f>SUM(H15:H23)</f>
        <v>142426.3</v>
      </c>
      <c r="I14" s="489">
        <f>SUM(I15:I23)</f>
        <v>142069</v>
      </c>
      <c r="J14" s="489">
        <f>SUM(J15:J23)</f>
        <v>145350</v>
      </c>
      <c r="K14" s="489">
        <f>SUM(K15:K23)</f>
        <v>141070</v>
      </c>
      <c r="L14" s="489">
        <f>SUM(L15:L23)</f>
        <v>141070</v>
      </c>
    </row>
    <row r="15" spans="1:12" ht="12.75">
      <c r="A15" s="447">
        <f t="shared" si="0"/>
        <v>9</v>
      </c>
      <c r="B15" s="490"/>
      <c r="C15" s="491" t="s">
        <v>224</v>
      </c>
      <c r="D15" s="492">
        <v>1</v>
      </c>
      <c r="E15" s="493" t="s">
        <v>225</v>
      </c>
      <c r="F15" s="494"/>
      <c r="G15" s="495">
        <f aca="true" t="shared" si="2" ref="G15:G23">ROUND(K15/30.126,1)</f>
        <v>1825.7</v>
      </c>
      <c r="H15" s="496">
        <f>výdavky!D8</f>
        <v>50000</v>
      </c>
      <c r="I15" s="496">
        <f>výdavky!E8</f>
        <v>52000</v>
      </c>
      <c r="J15" s="496">
        <f>výdavky!F8</f>
        <v>55000</v>
      </c>
      <c r="K15" s="496">
        <f>výdavky!G8</f>
        <v>55000</v>
      </c>
      <c r="L15" s="496">
        <f>výdavky!H8</f>
        <v>55000</v>
      </c>
    </row>
    <row r="16" spans="1:12" ht="12.75">
      <c r="A16" s="447">
        <f t="shared" si="0"/>
        <v>10</v>
      </c>
      <c r="B16" s="490"/>
      <c r="C16" s="491" t="s">
        <v>226</v>
      </c>
      <c r="D16" s="497">
        <f aca="true" t="shared" si="3" ref="D16:D23">D15+1</f>
        <v>2</v>
      </c>
      <c r="E16" s="498" t="s">
        <v>227</v>
      </c>
      <c r="F16" s="499"/>
      <c r="G16" s="500">
        <f t="shared" si="2"/>
        <v>663.9</v>
      </c>
      <c r="H16" s="501">
        <f>výdavky!D11</f>
        <v>18000</v>
      </c>
      <c r="I16" s="501">
        <f>výdavky!E11</f>
        <v>18500</v>
      </c>
      <c r="J16" s="501">
        <f>výdavky!F11</f>
        <v>20000</v>
      </c>
      <c r="K16" s="501">
        <f>výdavky!G11</f>
        <v>20000</v>
      </c>
      <c r="L16" s="501">
        <f>výdavky!H11</f>
        <v>20000</v>
      </c>
    </row>
    <row r="17" spans="1:12" ht="12.75">
      <c r="A17" s="447">
        <f t="shared" si="0"/>
        <v>11</v>
      </c>
      <c r="B17" s="490"/>
      <c r="C17" s="491" t="s">
        <v>228</v>
      </c>
      <c r="D17" s="492">
        <f t="shared" si="3"/>
        <v>3</v>
      </c>
      <c r="E17" s="493" t="s">
        <v>229</v>
      </c>
      <c r="F17" s="494"/>
      <c r="G17" s="495">
        <f t="shared" si="2"/>
        <v>0.7</v>
      </c>
      <c r="H17" s="496">
        <f>výdavky!D13</f>
        <v>20</v>
      </c>
      <c r="I17" s="496">
        <f>výdavky!E13</f>
        <v>540</v>
      </c>
      <c r="J17" s="496">
        <f>výdavky!F13</f>
        <v>200</v>
      </c>
      <c r="K17" s="496">
        <f>výdavky!G13</f>
        <v>20</v>
      </c>
      <c r="L17" s="496">
        <f>výdavky!H13</f>
        <v>20</v>
      </c>
    </row>
    <row r="18" spans="1:12" ht="12.75">
      <c r="A18" s="447">
        <f t="shared" si="0"/>
        <v>12</v>
      </c>
      <c r="B18" s="490"/>
      <c r="C18" s="491" t="s">
        <v>230</v>
      </c>
      <c r="D18" s="497">
        <f t="shared" si="3"/>
        <v>4</v>
      </c>
      <c r="E18" s="502" t="s">
        <v>231</v>
      </c>
      <c r="F18" s="503"/>
      <c r="G18" s="500">
        <f t="shared" si="2"/>
        <v>398.3</v>
      </c>
      <c r="H18" s="501">
        <f>výdavky!D14</f>
        <v>14000</v>
      </c>
      <c r="I18" s="501">
        <f>výdavky!E14</f>
        <v>14000</v>
      </c>
      <c r="J18" s="501">
        <f>výdavky!F14</f>
        <v>15000</v>
      </c>
      <c r="K18" s="501">
        <f>výdavky!G14</f>
        <v>12000</v>
      </c>
      <c r="L18" s="501">
        <f>výdavky!H14</f>
        <v>12000</v>
      </c>
    </row>
    <row r="19" spans="1:12" ht="12.75">
      <c r="A19" s="447">
        <f t="shared" si="0"/>
        <v>13</v>
      </c>
      <c r="B19" s="490"/>
      <c r="C19" s="491" t="s">
        <v>232</v>
      </c>
      <c r="D19" s="497">
        <f t="shared" si="3"/>
        <v>5</v>
      </c>
      <c r="E19" s="493" t="s">
        <v>233</v>
      </c>
      <c r="F19" s="494"/>
      <c r="G19" s="495">
        <f t="shared" si="2"/>
        <v>398.3</v>
      </c>
      <c r="H19" s="496">
        <f>výdavky!D16</f>
        <v>11600</v>
      </c>
      <c r="I19" s="496">
        <f>výdavky!E16</f>
        <v>12050</v>
      </c>
      <c r="J19" s="496">
        <f>výdavky!F16</f>
        <v>12900</v>
      </c>
      <c r="K19" s="496">
        <f>výdavky!G16</f>
        <v>12000</v>
      </c>
      <c r="L19" s="496">
        <f>výdavky!H16</f>
        <v>12000</v>
      </c>
    </row>
    <row r="20" spans="1:12" ht="12.75">
      <c r="A20" s="447">
        <f t="shared" si="0"/>
        <v>14</v>
      </c>
      <c r="B20" s="490"/>
      <c r="C20" s="491" t="s">
        <v>234</v>
      </c>
      <c r="D20" s="492">
        <f t="shared" si="3"/>
        <v>6</v>
      </c>
      <c r="E20" s="504" t="s">
        <v>235</v>
      </c>
      <c r="F20" s="505"/>
      <c r="G20" s="506">
        <f t="shared" si="2"/>
        <v>249</v>
      </c>
      <c r="H20" s="507">
        <f>výdavky!D29</f>
        <v>6983</v>
      </c>
      <c r="I20" s="507">
        <f>výdavky!E29</f>
        <v>9643</v>
      </c>
      <c r="J20" s="507">
        <f>výdavky!F29</f>
        <v>7500</v>
      </c>
      <c r="K20" s="507">
        <f>výdavky!G29</f>
        <v>7500</v>
      </c>
      <c r="L20" s="507">
        <f>výdavky!H29</f>
        <v>7500</v>
      </c>
    </row>
    <row r="21" spans="1:12" ht="12.75">
      <c r="A21" s="447">
        <f t="shared" si="0"/>
        <v>15</v>
      </c>
      <c r="B21" s="490"/>
      <c r="C21" s="491" t="s">
        <v>236</v>
      </c>
      <c r="D21" s="497">
        <f t="shared" si="3"/>
        <v>7</v>
      </c>
      <c r="E21" s="502" t="s">
        <v>237</v>
      </c>
      <c r="F21" s="503"/>
      <c r="G21" s="500">
        <f t="shared" si="2"/>
        <v>59.7</v>
      </c>
      <c r="H21" s="501">
        <f>výdavky!D36</f>
        <v>1637</v>
      </c>
      <c r="I21" s="501">
        <f>výdavky!E36</f>
        <v>3450</v>
      </c>
      <c r="J21" s="501">
        <f>výdavky!F36</f>
        <v>2200</v>
      </c>
      <c r="K21" s="501">
        <f>výdavky!G36</f>
        <v>1800</v>
      </c>
      <c r="L21" s="501">
        <f>výdavky!H36</f>
        <v>1800</v>
      </c>
    </row>
    <row r="22" spans="1:12" ht="12.75">
      <c r="A22" s="447">
        <f t="shared" si="0"/>
        <v>16</v>
      </c>
      <c r="B22" s="490"/>
      <c r="C22" s="491" t="s">
        <v>238</v>
      </c>
      <c r="D22" s="497">
        <f t="shared" si="3"/>
        <v>8</v>
      </c>
      <c r="E22" s="502" t="s">
        <v>239</v>
      </c>
      <c r="F22" s="503"/>
      <c r="G22" s="500">
        <f t="shared" si="2"/>
        <v>29.9</v>
      </c>
      <c r="H22" s="501">
        <f>výdavky!D40</f>
        <v>1200</v>
      </c>
      <c r="I22" s="501">
        <f>výdavky!E40</f>
        <v>1006</v>
      </c>
      <c r="J22" s="501">
        <f>výdavky!F40</f>
        <v>900</v>
      </c>
      <c r="K22" s="501">
        <f>výdavky!G40</f>
        <v>900</v>
      </c>
      <c r="L22" s="501">
        <f>výdavky!H40</f>
        <v>900</v>
      </c>
    </row>
    <row r="23" spans="1:12" ht="12.75">
      <c r="A23" s="447">
        <f t="shared" si="0"/>
        <v>17</v>
      </c>
      <c r="B23" s="490"/>
      <c r="C23" s="491" t="s">
        <v>240</v>
      </c>
      <c r="D23" s="497">
        <f t="shared" si="3"/>
        <v>9</v>
      </c>
      <c r="E23" s="502" t="s">
        <v>241</v>
      </c>
      <c r="F23" s="503"/>
      <c r="G23" s="500">
        <f t="shared" si="2"/>
        <v>1057.2</v>
      </c>
      <c r="H23" s="501">
        <f>výdavky!D48</f>
        <v>38986.299999999996</v>
      </c>
      <c r="I23" s="501">
        <f>výdavky!E48</f>
        <v>30880</v>
      </c>
      <c r="J23" s="501">
        <f>výdavky!F48</f>
        <v>31650</v>
      </c>
      <c r="K23" s="501">
        <f>výdavky!G48</f>
        <v>31850</v>
      </c>
      <c r="L23" s="501">
        <f>výdavky!H48</f>
        <v>31850</v>
      </c>
    </row>
    <row r="24" spans="1:12" ht="12.75">
      <c r="A24" s="447">
        <v>18</v>
      </c>
      <c r="B24" s="483"/>
      <c r="C24" s="491"/>
      <c r="D24" s="451" t="s">
        <v>217</v>
      </c>
      <c r="E24" s="508"/>
      <c r="F24" s="480"/>
      <c r="G24" s="481">
        <f aca="true" t="shared" si="4" ref="G24:L24">G25</f>
        <v>449.8</v>
      </c>
      <c r="H24" s="482">
        <f t="shared" si="4"/>
        <v>3200</v>
      </c>
      <c r="I24" s="482">
        <f t="shared" si="4"/>
        <v>0</v>
      </c>
      <c r="J24" s="482">
        <f t="shared" si="4"/>
        <v>0</v>
      </c>
      <c r="K24" s="482">
        <f t="shared" si="4"/>
        <v>0</v>
      </c>
      <c r="L24" s="482">
        <f t="shared" si="4"/>
        <v>0</v>
      </c>
    </row>
    <row r="25" spans="1:12" ht="12.75">
      <c r="A25" s="447">
        <f>A24+1</f>
        <v>19</v>
      </c>
      <c r="B25" s="490"/>
      <c r="C25" s="484" t="s">
        <v>222</v>
      </c>
      <c r="D25" s="485" t="s">
        <v>223</v>
      </c>
      <c r="E25" s="486"/>
      <c r="F25" s="487"/>
      <c r="G25" s="488">
        <f>SUM(G26:G28)</f>
        <v>449.8</v>
      </c>
      <c r="H25" s="489">
        <f>SUM(H26:H26)</f>
        <v>3200</v>
      </c>
      <c r="I25" s="489">
        <f>SUM(I26:I26)</f>
        <v>0</v>
      </c>
      <c r="J25" s="489">
        <f>SUM(J26:J26)</f>
        <v>0</v>
      </c>
      <c r="K25" s="489">
        <f>SUM(K26:K26)</f>
        <v>0</v>
      </c>
      <c r="L25" s="489">
        <f>SUM(L26:L26)</f>
        <v>0</v>
      </c>
    </row>
    <row r="26" spans="1:12" ht="12.75">
      <c r="A26" s="447">
        <f>A25+1</f>
        <v>20</v>
      </c>
      <c r="B26" s="483"/>
      <c r="C26" s="491" t="s">
        <v>242</v>
      </c>
      <c r="D26" s="497">
        <v>1</v>
      </c>
      <c r="E26" s="502" t="s">
        <v>243</v>
      </c>
      <c r="F26" s="509"/>
      <c r="G26" s="510">
        <v>18.2</v>
      </c>
      <c r="H26" s="501">
        <f>výdavky!D396</f>
        <v>3200</v>
      </c>
      <c r="I26" s="501">
        <f>výdavky!E396</f>
        <v>0</v>
      </c>
      <c r="J26" s="501">
        <f>výdavky!F396</f>
        <v>0</v>
      </c>
      <c r="K26" s="501">
        <f>výdavky!G396</f>
        <v>0</v>
      </c>
      <c r="L26" s="501">
        <f>výdavky!H396</f>
        <v>0</v>
      </c>
    </row>
    <row r="27" spans="1:12" ht="12.75">
      <c r="A27" s="447">
        <v>21</v>
      </c>
      <c r="B27" s="511"/>
      <c r="C27" s="470" t="s">
        <v>244</v>
      </c>
      <c r="D27" s="471" t="s">
        <v>245</v>
      </c>
      <c r="E27" s="512"/>
      <c r="F27" s="513"/>
      <c r="G27" s="514">
        <f>G29</f>
        <v>215.8</v>
      </c>
      <c r="H27" s="515">
        <f aca="true" t="shared" si="5" ref="H27:L28">H28</f>
        <v>11020</v>
      </c>
      <c r="I27" s="515">
        <f t="shared" si="5"/>
        <v>13550</v>
      </c>
      <c r="J27" s="515">
        <f t="shared" si="5"/>
        <v>13500</v>
      </c>
      <c r="K27" s="515">
        <f t="shared" si="5"/>
        <v>13900</v>
      </c>
      <c r="L27" s="515">
        <f t="shared" si="5"/>
        <v>14300</v>
      </c>
    </row>
    <row r="28" spans="1:12" s="517" customFormat="1" ht="12.75">
      <c r="A28" s="447">
        <f>A27+1</f>
        <v>22</v>
      </c>
      <c r="B28" s="516"/>
      <c r="C28" s="478"/>
      <c r="D28" s="452" t="s">
        <v>215</v>
      </c>
      <c r="E28" s="479"/>
      <c r="F28" s="480"/>
      <c r="G28" s="481">
        <f>G29</f>
        <v>215.8</v>
      </c>
      <c r="H28" s="482">
        <f t="shared" si="5"/>
        <v>11020</v>
      </c>
      <c r="I28" s="482">
        <f t="shared" si="5"/>
        <v>13550</v>
      </c>
      <c r="J28" s="482">
        <f t="shared" si="5"/>
        <v>13500</v>
      </c>
      <c r="K28" s="482">
        <f t="shared" si="5"/>
        <v>13900</v>
      </c>
      <c r="L28" s="482">
        <f t="shared" si="5"/>
        <v>14300</v>
      </c>
    </row>
    <row r="29" spans="1:12" s="517" customFormat="1" ht="12.75">
      <c r="A29" s="447">
        <f>A28+1</f>
        <v>23</v>
      </c>
      <c r="B29" s="516"/>
      <c r="C29" s="518" t="s">
        <v>222</v>
      </c>
      <c r="D29" s="519" t="s">
        <v>223</v>
      </c>
      <c r="E29" s="486"/>
      <c r="F29" s="520"/>
      <c r="G29" s="521">
        <f>SUM(G34:G37)</f>
        <v>215.8</v>
      </c>
      <c r="H29" s="489">
        <f>SUM(H30,H31,H32,H33,H34)</f>
        <v>11020</v>
      </c>
      <c r="I29" s="489">
        <f>SUM(I30,I31,I32,I33,I34)</f>
        <v>13550</v>
      </c>
      <c r="J29" s="489">
        <f>SUM(J30,J31,J32,J33,J34)</f>
        <v>13500</v>
      </c>
      <c r="K29" s="489">
        <f>SUM(K30,K31,K32,K33,K34)</f>
        <v>13900</v>
      </c>
      <c r="L29" s="489">
        <f>SUM(L30,L31,L32,L33,L34)</f>
        <v>14300</v>
      </c>
    </row>
    <row r="30" spans="1:12" s="517" customFormat="1" ht="12.75">
      <c r="A30" s="447">
        <v>24</v>
      </c>
      <c r="B30" s="516"/>
      <c r="C30" s="522" t="s">
        <v>224</v>
      </c>
      <c r="D30" s="523">
        <v>1</v>
      </c>
      <c r="E30" s="524" t="s">
        <v>225</v>
      </c>
      <c r="F30" s="525" t="s">
        <v>246</v>
      </c>
      <c r="G30" s="526"/>
      <c r="H30" s="496">
        <f>výdavky!D71</f>
        <v>5820</v>
      </c>
      <c r="I30" s="496">
        <f>výdavky!E71</f>
        <v>7000</v>
      </c>
      <c r="J30" s="496">
        <f>výdavky!F71</f>
        <v>7200</v>
      </c>
      <c r="K30" s="496">
        <f>výdavky!G71</f>
        <v>7500</v>
      </c>
      <c r="L30" s="496">
        <f>výdavky!H71</f>
        <v>7800</v>
      </c>
    </row>
    <row r="31" spans="1:12" s="517" customFormat="1" ht="12.75">
      <c r="A31" s="447">
        <v>25</v>
      </c>
      <c r="B31" s="516"/>
      <c r="C31" s="522" t="s">
        <v>226</v>
      </c>
      <c r="D31" s="527">
        <v>2</v>
      </c>
      <c r="E31" s="528" t="s">
        <v>227</v>
      </c>
      <c r="F31" s="529" t="s">
        <v>246</v>
      </c>
      <c r="G31" s="530"/>
      <c r="H31" s="501">
        <f>výdavky!D72</f>
        <v>2070</v>
      </c>
      <c r="I31" s="501">
        <f>výdavky!E72</f>
        <v>2500</v>
      </c>
      <c r="J31" s="501">
        <f>výdavky!F72</f>
        <v>2500</v>
      </c>
      <c r="K31" s="501">
        <f>výdavky!G72</f>
        <v>2600</v>
      </c>
      <c r="L31" s="501">
        <f>výdavky!H72</f>
        <v>2700</v>
      </c>
    </row>
    <row r="32" spans="1:12" s="517" customFormat="1" ht="12.75">
      <c r="A32" s="447">
        <v>26</v>
      </c>
      <c r="B32" s="516"/>
      <c r="C32" s="522" t="s">
        <v>240</v>
      </c>
      <c r="D32" s="523">
        <v>3</v>
      </c>
      <c r="E32" s="524" t="s">
        <v>241</v>
      </c>
      <c r="F32" s="525" t="s">
        <v>246</v>
      </c>
      <c r="G32" s="526"/>
      <c r="H32" s="496">
        <f>výdavky!D73</f>
        <v>130</v>
      </c>
      <c r="I32" s="496">
        <f>výdavky!E73</f>
        <v>550</v>
      </c>
      <c r="J32" s="496">
        <f>výdavky!F73</f>
        <v>300</v>
      </c>
      <c r="K32" s="496">
        <f>výdavky!G73</f>
        <v>300</v>
      </c>
      <c r="L32" s="496">
        <f>výdavky!H73</f>
        <v>300</v>
      </c>
    </row>
    <row r="33" spans="1:12" s="517" customFormat="1" ht="12.75">
      <c r="A33" s="447">
        <v>27</v>
      </c>
      <c r="B33" s="516"/>
      <c r="C33" s="522" t="s">
        <v>240</v>
      </c>
      <c r="D33" s="527">
        <v>4</v>
      </c>
      <c r="E33" s="528" t="s">
        <v>247</v>
      </c>
      <c r="F33" s="531"/>
      <c r="G33" s="530"/>
      <c r="H33" s="501">
        <v>0</v>
      </c>
      <c r="I33" s="501">
        <v>0</v>
      </c>
      <c r="J33" s="501">
        <v>0</v>
      </c>
      <c r="K33" s="501">
        <v>0</v>
      </c>
      <c r="L33" s="501">
        <v>0</v>
      </c>
    </row>
    <row r="34" spans="1:12" s="517" customFormat="1" ht="12.75">
      <c r="A34" s="447">
        <v>28</v>
      </c>
      <c r="B34" s="516"/>
      <c r="C34" s="522" t="s">
        <v>240</v>
      </c>
      <c r="D34" s="497">
        <v>5</v>
      </c>
      <c r="E34" s="528" t="s">
        <v>248</v>
      </c>
      <c r="F34" s="531"/>
      <c r="G34" s="532">
        <f>ROUND(K34/30.126,1)</f>
        <v>116.2</v>
      </c>
      <c r="H34" s="533">
        <f>výdavky!D74</f>
        <v>3000</v>
      </c>
      <c r="I34" s="533">
        <f>výdavky!E74</f>
        <v>3500</v>
      </c>
      <c r="J34" s="533">
        <f>výdavky!F74</f>
        <v>3500</v>
      </c>
      <c r="K34" s="533">
        <f>výdavky!G74</f>
        <v>3500</v>
      </c>
      <c r="L34" s="533">
        <f>výdavky!H74</f>
        <v>3500</v>
      </c>
    </row>
    <row r="35" spans="1:12" ht="12.75">
      <c r="A35" s="447">
        <f aca="true" t="shared" si="6" ref="A35:A52">A34+1</f>
        <v>29</v>
      </c>
      <c r="B35" s="462">
        <v>2</v>
      </c>
      <c r="C35" s="463" t="s">
        <v>249</v>
      </c>
      <c r="D35" s="464"/>
      <c r="E35" s="464"/>
      <c r="F35" s="465"/>
      <c r="G35" s="466">
        <f>G37</f>
        <v>33.2</v>
      </c>
      <c r="H35" s="468">
        <f aca="true" t="shared" si="7" ref="H35:L36">H36</f>
        <v>1400</v>
      </c>
      <c r="I35" s="468">
        <f t="shared" si="7"/>
        <v>2800</v>
      </c>
      <c r="J35" s="468">
        <f t="shared" si="7"/>
        <v>2000</v>
      </c>
      <c r="K35" s="468">
        <f t="shared" si="7"/>
        <v>2000</v>
      </c>
      <c r="L35" s="468">
        <f t="shared" si="7"/>
        <v>2000</v>
      </c>
    </row>
    <row r="36" spans="1:12" ht="12.75">
      <c r="A36" s="447">
        <f t="shared" si="6"/>
        <v>30</v>
      </c>
      <c r="B36" s="477"/>
      <c r="C36" s="478"/>
      <c r="D36" s="451" t="s">
        <v>215</v>
      </c>
      <c r="E36" s="479"/>
      <c r="F36" s="480"/>
      <c r="G36" s="481">
        <f>G37</f>
        <v>33.2</v>
      </c>
      <c r="H36" s="482">
        <f t="shared" si="7"/>
        <v>1400</v>
      </c>
      <c r="I36" s="482">
        <f t="shared" si="7"/>
        <v>2800</v>
      </c>
      <c r="J36" s="482">
        <f t="shared" si="7"/>
        <v>2000</v>
      </c>
      <c r="K36" s="482">
        <f t="shared" si="7"/>
        <v>2000</v>
      </c>
      <c r="L36" s="482">
        <f t="shared" si="7"/>
        <v>2000</v>
      </c>
    </row>
    <row r="37" spans="1:12" ht="12.75">
      <c r="A37" s="447">
        <f t="shared" si="6"/>
        <v>31</v>
      </c>
      <c r="B37" s="511"/>
      <c r="C37" s="518" t="s">
        <v>222</v>
      </c>
      <c r="D37" s="519" t="s">
        <v>223</v>
      </c>
      <c r="E37" s="486"/>
      <c r="F37" s="487"/>
      <c r="G37" s="534">
        <f>SUM(G38)</f>
        <v>33.2</v>
      </c>
      <c r="H37" s="535">
        <f>SUM(H38:H39)</f>
        <v>1400</v>
      </c>
      <c r="I37" s="535">
        <f>SUM(I38:I39)</f>
        <v>2800</v>
      </c>
      <c r="J37" s="535">
        <f>SUM(J38:J39)</f>
        <v>2000</v>
      </c>
      <c r="K37" s="535">
        <f>SUM(K38:K39)</f>
        <v>2000</v>
      </c>
      <c r="L37" s="535">
        <f>SUM(L38:L39)</f>
        <v>2000</v>
      </c>
    </row>
    <row r="38" spans="1:12" ht="12.75">
      <c r="A38" s="447">
        <f t="shared" si="6"/>
        <v>32</v>
      </c>
      <c r="B38" s="516"/>
      <c r="C38" s="522" t="s">
        <v>250</v>
      </c>
      <c r="D38" s="536" t="s">
        <v>251</v>
      </c>
      <c r="E38" s="493" t="s">
        <v>252</v>
      </c>
      <c r="F38" s="537"/>
      <c r="G38" s="538">
        <f>ROUND(K38/30.126,1)</f>
        <v>33.2</v>
      </c>
      <c r="H38" s="539">
        <f>výdavky!D67</f>
        <v>1400</v>
      </c>
      <c r="I38" s="539">
        <f>výdavky!E67</f>
        <v>800</v>
      </c>
      <c r="J38" s="539">
        <f>výdavky!F67</f>
        <v>1000</v>
      </c>
      <c r="K38" s="539">
        <f>výdavky!G67</f>
        <v>1000</v>
      </c>
      <c r="L38" s="539">
        <f>výdavky!H67</f>
        <v>1000</v>
      </c>
    </row>
    <row r="39" spans="1:12" ht="12.75">
      <c r="A39" s="447">
        <f t="shared" si="6"/>
        <v>33</v>
      </c>
      <c r="B39" s="516"/>
      <c r="C39" s="540" t="s">
        <v>250</v>
      </c>
      <c r="D39" s="541" t="s">
        <v>253</v>
      </c>
      <c r="E39" s="502" t="s">
        <v>254</v>
      </c>
      <c r="F39" s="509"/>
      <c r="G39" s="532"/>
      <c r="H39" s="533">
        <v>0</v>
      </c>
      <c r="I39" s="533">
        <f>výdavky!E66</f>
        <v>2000</v>
      </c>
      <c r="J39" s="533">
        <f>výdavky!F66</f>
        <v>1000</v>
      </c>
      <c r="K39" s="533">
        <f>výdavky!G66</f>
        <v>1000</v>
      </c>
      <c r="L39" s="533">
        <f>výdavky!H66</f>
        <v>1000</v>
      </c>
    </row>
    <row r="40" spans="1:12" ht="12.75">
      <c r="A40" s="447">
        <f t="shared" si="6"/>
        <v>34</v>
      </c>
      <c r="B40" s="462">
        <v>3</v>
      </c>
      <c r="C40" s="463" t="s">
        <v>255</v>
      </c>
      <c r="D40" s="464"/>
      <c r="E40" s="464"/>
      <c r="F40" s="465"/>
      <c r="G40" s="466">
        <f>G42</f>
        <v>0</v>
      </c>
      <c r="H40" s="468">
        <f>SUM(H41+H49)</f>
        <v>210015.17</v>
      </c>
      <c r="I40" s="468">
        <f>SUM(I41+I49)</f>
        <v>137451.77000000002</v>
      </c>
      <c r="J40" s="468">
        <f>SUM(J41+J49)</f>
        <v>164704</v>
      </c>
      <c r="K40" s="468">
        <f>SUM(K41+K49)</f>
        <v>31949.23</v>
      </c>
      <c r="L40" s="468">
        <f>SUM(L41+L49)</f>
        <v>1500</v>
      </c>
    </row>
    <row r="41" spans="1:12" ht="12.75">
      <c r="A41" s="447">
        <f t="shared" si="6"/>
        <v>35</v>
      </c>
      <c r="B41" s="477"/>
      <c r="C41" s="478"/>
      <c r="D41" s="451" t="s">
        <v>215</v>
      </c>
      <c r="E41" s="479"/>
      <c r="F41" s="480"/>
      <c r="G41" s="481">
        <f>G42</f>
        <v>0</v>
      </c>
      <c r="H41" s="482">
        <f>SUM(H42+H44)</f>
        <v>15220</v>
      </c>
      <c r="I41" s="482">
        <f>SUM(I42+I44)</f>
        <v>12890</v>
      </c>
      <c r="J41" s="482">
        <f>SUM(J42+J44)</f>
        <v>9500</v>
      </c>
      <c r="K41" s="482">
        <f>SUM(K42+K44)</f>
        <v>1500</v>
      </c>
      <c r="L41" s="482">
        <f>SUM(L42+L44)</f>
        <v>1500</v>
      </c>
    </row>
    <row r="42" spans="1:12" ht="12.75">
      <c r="A42" s="447">
        <f t="shared" si="6"/>
        <v>36</v>
      </c>
      <c r="B42" s="483"/>
      <c r="C42" s="484" t="s">
        <v>256</v>
      </c>
      <c r="D42" s="485" t="s">
        <v>257</v>
      </c>
      <c r="E42" s="486"/>
      <c r="F42" s="487"/>
      <c r="G42" s="488">
        <f>SUM(G43:G43)</f>
        <v>0</v>
      </c>
      <c r="H42" s="489">
        <f>H43</f>
        <v>14500</v>
      </c>
      <c r="I42" s="489">
        <f>I43</f>
        <v>11000</v>
      </c>
      <c r="J42" s="489">
        <f>J43</f>
        <v>8000</v>
      </c>
      <c r="K42" s="489">
        <f>K43</f>
        <v>0</v>
      </c>
      <c r="L42" s="489">
        <f>L43</f>
        <v>0</v>
      </c>
    </row>
    <row r="43" spans="1:12" ht="12.75">
      <c r="A43" s="447">
        <f t="shared" si="6"/>
        <v>37</v>
      </c>
      <c r="B43" s="483"/>
      <c r="C43" s="542" t="s">
        <v>258</v>
      </c>
      <c r="D43" s="536" t="s">
        <v>251</v>
      </c>
      <c r="E43" s="524" t="s">
        <v>259</v>
      </c>
      <c r="F43" s="525"/>
      <c r="G43" s="543">
        <f>ROUND(K43/30.126,1)</f>
        <v>0</v>
      </c>
      <c r="H43" s="496">
        <f>výdavky!D68</f>
        <v>14500</v>
      </c>
      <c r="I43" s="496">
        <f>výdavky!E68</f>
        <v>11000</v>
      </c>
      <c r="J43" s="496">
        <f>výdavky!F68</f>
        <v>8000</v>
      </c>
      <c r="K43" s="496">
        <f>výdavky!G68</f>
        <v>0</v>
      </c>
      <c r="L43" s="496">
        <f>výdavky!H68</f>
        <v>0</v>
      </c>
    </row>
    <row r="44" spans="1:12" ht="12.75">
      <c r="A44" s="447">
        <f t="shared" si="6"/>
        <v>38</v>
      </c>
      <c r="B44" s="483"/>
      <c r="C44" s="484" t="s">
        <v>260</v>
      </c>
      <c r="D44" s="485" t="s">
        <v>261</v>
      </c>
      <c r="E44" s="486"/>
      <c r="F44" s="487"/>
      <c r="G44" s="488">
        <f>SUM(G45:G45)</f>
        <v>0</v>
      </c>
      <c r="H44" s="489">
        <f>SUM(H45:H48)</f>
        <v>720</v>
      </c>
      <c r="I44" s="489">
        <f>SUM(I45:I48)</f>
        <v>1890</v>
      </c>
      <c r="J44" s="489">
        <f>SUM(J45:J48)</f>
        <v>1500</v>
      </c>
      <c r="K44" s="489">
        <f>SUM(K45:K48)</f>
        <v>1500</v>
      </c>
      <c r="L44" s="489">
        <f>SUM(L45:L48)</f>
        <v>1500</v>
      </c>
    </row>
    <row r="45" spans="1:12" ht="12.75">
      <c r="A45" s="447">
        <f t="shared" si="6"/>
        <v>39</v>
      </c>
      <c r="B45" s="483"/>
      <c r="C45" s="542" t="s">
        <v>262</v>
      </c>
      <c r="D45" s="536" t="s">
        <v>253</v>
      </c>
      <c r="E45" s="493" t="s">
        <v>263</v>
      </c>
      <c r="F45" s="537"/>
      <c r="G45" s="543">
        <f>ROUND(K45/30.126,1)</f>
        <v>0</v>
      </c>
      <c r="H45" s="496">
        <v>0</v>
      </c>
      <c r="I45" s="496">
        <v>0</v>
      </c>
      <c r="J45" s="496">
        <v>0</v>
      </c>
      <c r="K45" s="496">
        <v>0</v>
      </c>
      <c r="L45" s="496">
        <v>0</v>
      </c>
    </row>
    <row r="46" spans="1:12" ht="12.75">
      <c r="A46" s="447">
        <f t="shared" si="6"/>
        <v>40</v>
      </c>
      <c r="B46" s="483"/>
      <c r="C46" s="542" t="s">
        <v>262</v>
      </c>
      <c r="D46" s="541" t="s">
        <v>264</v>
      </c>
      <c r="E46" s="502" t="s">
        <v>265</v>
      </c>
      <c r="F46" s="509"/>
      <c r="G46" s="510">
        <f>ROUND(K46/30.126,1)</f>
        <v>49.8</v>
      </c>
      <c r="H46" s="501">
        <v>0</v>
      </c>
      <c r="I46" s="501">
        <f>výdavky!E75</f>
        <v>1440</v>
      </c>
      <c r="J46" s="501">
        <f>výdavky!F75</f>
        <v>1500</v>
      </c>
      <c r="K46" s="501">
        <f>výdavky!G75</f>
        <v>1500</v>
      </c>
      <c r="L46" s="501">
        <f>výdavky!H75</f>
        <v>1500</v>
      </c>
    </row>
    <row r="47" spans="1:12" s="547" customFormat="1" ht="11.25">
      <c r="A47" s="447">
        <f t="shared" si="6"/>
        <v>41</v>
      </c>
      <c r="B47" s="544"/>
      <c r="C47" s="542" t="s">
        <v>262</v>
      </c>
      <c r="D47" s="536" t="s">
        <v>266</v>
      </c>
      <c r="E47" s="545" t="s">
        <v>267</v>
      </c>
      <c r="F47" s="544"/>
      <c r="G47" s="544"/>
      <c r="H47" s="546">
        <v>0</v>
      </c>
      <c r="I47" s="546">
        <v>0</v>
      </c>
      <c r="J47" s="546">
        <v>0</v>
      </c>
      <c r="K47" s="546">
        <v>0</v>
      </c>
      <c r="L47" s="546">
        <v>0</v>
      </c>
    </row>
    <row r="48" spans="1:12" s="547" customFormat="1" ht="11.25">
      <c r="A48" s="447">
        <f t="shared" si="6"/>
        <v>42</v>
      </c>
      <c r="B48" s="544"/>
      <c r="C48" s="542" t="s">
        <v>262</v>
      </c>
      <c r="D48" s="541" t="s">
        <v>268</v>
      </c>
      <c r="E48" s="548" t="s">
        <v>269</v>
      </c>
      <c r="F48" s="549"/>
      <c r="G48" s="549"/>
      <c r="H48" s="550">
        <f>výdavky!D69</f>
        <v>720</v>
      </c>
      <c r="I48" s="550">
        <f>výdavky!E69</f>
        <v>450</v>
      </c>
      <c r="J48" s="550">
        <f>výdavky!F69</f>
        <v>0</v>
      </c>
      <c r="K48" s="550">
        <f>výdavky!G69</f>
        <v>0</v>
      </c>
      <c r="L48" s="550">
        <f>výdavky!H69</f>
        <v>0</v>
      </c>
    </row>
    <row r="49" spans="1:12" ht="12.75">
      <c r="A49" s="447">
        <f t="shared" si="6"/>
        <v>43</v>
      </c>
      <c r="B49" s="483"/>
      <c r="C49" s="551"/>
      <c r="D49" s="452" t="s">
        <v>270</v>
      </c>
      <c r="E49" s="508"/>
      <c r="F49" s="480"/>
      <c r="G49" s="481" t="e">
        <f aca="true" t="shared" si="8" ref="G49:L49">G50</f>
        <v>#REF!</v>
      </c>
      <c r="H49" s="482">
        <f t="shared" si="8"/>
        <v>194795.17</v>
      </c>
      <c r="I49" s="482">
        <f t="shared" si="8"/>
        <v>124561.77</v>
      </c>
      <c r="J49" s="482">
        <f t="shared" si="8"/>
        <v>155204</v>
      </c>
      <c r="K49" s="482">
        <f t="shared" si="8"/>
        <v>30449.23</v>
      </c>
      <c r="L49" s="482">
        <f t="shared" si="8"/>
        <v>0</v>
      </c>
    </row>
    <row r="50" spans="1:12" ht="12.75">
      <c r="A50" s="447">
        <f t="shared" si="6"/>
        <v>44</v>
      </c>
      <c r="B50" s="483"/>
      <c r="C50" s="484" t="s">
        <v>222</v>
      </c>
      <c r="D50" s="485" t="s">
        <v>261</v>
      </c>
      <c r="E50" s="486"/>
      <c r="F50" s="487"/>
      <c r="G50" s="552" t="e">
        <f>SUM(#REF!)</f>
        <v>#REF!</v>
      </c>
      <c r="H50" s="553">
        <f>SUM(H51:H52)</f>
        <v>194795.17</v>
      </c>
      <c r="I50" s="553">
        <f>SUM(I51:I52)</f>
        <v>124561.77</v>
      </c>
      <c r="J50" s="553">
        <f>SUM(J51:J52)</f>
        <v>155204</v>
      </c>
      <c r="K50" s="553">
        <f>SUM(K51:K52)</f>
        <v>30449.23</v>
      </c>
      <c r="L50" s="553">
        <f>SUM(L51:L52)</f>
        <v>0</v>
      </c>
    </row>
    <row r="51" spans="1:12" s="547" customFormat="1" ht="11.25">
      <c r="A51" s="447">
        <f t="shared" si="6"/>
        <v>45</v>
      </c>
      <c r="B51" s="483"/>
      <c r="C51" s="491" t="s">
        <v>271</v>
      </c>
      <c r="D51" s="536" t="s">
        <v>272</v>
      </c>
      <c r="E51" s="524" t="s">
        <v>273</v>
      </c>
      <c r="F51" s="554"/>
      <c r="G51" s="555"/>
      <c r="H51" s="556">
        <f>výdavky!D444</f>
        <v>6000</v>
      </c>
      <c r="I51" s="556">
        <f>výdavky!E444</f>
        <v>215</v>
      </c>
      <c r="J51" s="556">
        <f>výdavky!F444</f>
        <v>0</v>
      </c>
      <c r="K51" s="556">
        <f>výdavky!G444</f>
        <v>0</v>
      </c>
      <c r="L51" s="556">
        <f>výdavky!H444</f>
        <v>0</v>
      </c>
    </row>
    <row r="52" spans="1:12" s="547" customFormat="1" ht="11.25">
      <c r="A52" s="447">
        <f t="shared" si="6"/>
        <v>46</v>
      </c>
      <c r="B52" s="483"/>
      <c r="C52" s="491" t="s">
        <v>274</v>
      </c>
      <c r="D52" s="541" t="s">
        <v>275</v>
      </c>
      <c r="E52" s="528" t="s">
        <v>276</v>
      </c>
      <c r="F52" s="531"/>
      <c r="G52" s="557"/>
      <c r="H52" s="558">
        <f>výdavky!D445</f>
        <v>188795.17</v>
      </c>
      <c r="I52" s="558">
        <f>výdavky!E445</f>
        <v>124346.77</v>
      </c>
      <c r="J52" s="558">
        <f>výdavky!F445</f>
        <v>155204</v>
      </c>
      <c r="K52" s="558">
        <f>výdavky!G445</f>
        <v>30449.23</v>
      </c>
      <c r="L52" s="558">
        <f>výdavky!H445</f>
        <v>0</v>
      </c>
    </row>
    <row r="53" spans="1:12" ht="12.75">
      <c r="A53" s="447">
        <v>43</v>
      </c>
      <c r="B53" s="559">
        <v>4</v>
      </c>
      <c r="C53" s="560" t="s">
        <v>277</v>
      </c>
      <c r="D53" s="464"/>
      <c r="E53" s="464"/>
      <c r="F53" s="465"/>
      <c r="G53" s="466">
        <f>SUM(G55)</f>
        <v>425.3</v>
      </c>
      <c r="H53" s="468">
        <f>SUM(H54)</f>
        <v>12815</v>
      </c>
      <c r="I53" s="468">
        <f>SUM(I54)</f>
        <v>12615</v>
      </c>
      <c r="J53" s="468">
        <f>SUM(J54)</f>
        <v>12815</v>
      </c>
      <c r="K53" s="468">
        <f>SUM(K54)</f>
        <v>12815</v>
      </c>
      <c r="L53" s="468">
        <f>SUM(L54)</f>
        <v>12815</v>
      </c>
    </row>
    <row r="54" spans="1:12" ht="12.75">
      <c r="A54" s="447">
        <v>49</v>
      </c>
      <c r="B54" s="561"/>
      <c r="C54" s="551"/>
      <c r="D54" s="451" t="s">
        <v>215</v>
      </c>
      <c r="E54" s="479"/>
      <c r="F54" s="480"/>
      <c r="G54" s="481">
        <f aca="true" t="shared" si="9" ref="G54:L54">G55</f>
        <v>425.3</v>
      </c>
      <c r="H54" s="482">
        <f t="shared" si="9"/>
        <v>12815</v>
      </c>
      <c r="I54" s="482">
        <f t="shared" si="9"/>
        <v>12615</v>
      </c>
      <c r="J54" s="482">
        <f t="shared" si="9"/>
        <v>12815</v>
      </c>
      <c r="K54" s="482">
        <f t="shared" si="9"/>
        <v>12815</v>
      </c>
      <c r="L54" s="482">
        <f t="shared" si="9"/>
        <v>12815</v>
      </c>
    </row>
    <row r="55" spans="1:12" ht="12.75">
      <c r="A55" s="447">
        <f aca="true" t="shared" si="10" ref="A55:A61">A54+1</f>
        <v>50</v>
      </c>
      <c r="B55" s="483"/>
      <c r="C55" s="562" t="s">
        <v>278</v>
      </c>
      <c r="D55" s="519" t="s">
        <v>279</v>
      </c>
      <c r="E55" s="486"/>
      <c r="F55" s="487"/>
      <c r="G55" s="521">
        <f>SUM(G56:G61)</f>
        <v>425.3</v>
      </c>
      <c r="H55" s="489">
        <f>H56+H57+H58+H59+H60+H61</f>
        <v>12815</v>
      </c>
      <c r="I55" s="489">
        <f>SUM(I56:I61)</f>
        <v>12615</v>
      </c>
      <c r="J55" s="489">
        <f>SUM(J56:J61)</f>
        <v>12815</v>
      </c>
      <c r="K55" s="489">
        <f>SUM(K56:K61)</f>
        <v>12815</v>
      </c>
      <c r="L55" s="489">
        <f>SUM(L56:L61)</f>
        <v>12815</v>
      </c>
    </row>
    <row r="56" spans="1:12" ht="12.75">
      <c r="A56" s="447">
        <f t="shared" si="10"/>
        <v>51</v>
      </c>
      <c r="B56" s="483"/>
      <c r="C56" s="542" t="s">
        <v>224</v>
      </c>
      <c r="D56" s="536" t="s">
        <v>251</v>
      </c>
      <c r="E56" s="493" t="s">
        <v>280</v>
      </c>
      <c r="F56" s="537"/>
      <c r="G56" s="543">
        <f aca="true" t="shared" si="11" ref="G56:G61">ROUND(K56/30.126,1)</f>
        <v>298.7</v>
      </c>
      <c r="H56" s="496">
        <f>výdavky!D78</f>
        <v>9000</v>
      </c>
      <c r="I56" s="496">
        <f>výdavky!E78</f>
        <v>9000</v>
      </c>
      <c r="J56" s="496">
        <f>výdavky!F78</f>
        <v>9000</v>
      </c>
      <c r="K56" s="496">
        <f>výdavky!G78</f>
        <v>9000</v>
      </c>
      <c r="L56" s="496">
        <f>výdavky!H78</f>
        <v>9000</v>
      </c>
    </row>
    <row r="57" spans="1:12" ht="12.75">
      <c r="A57" s="447">
        <f t="shared" si="10"/>
        <v>52</v>
      </c>
      <c r="B57" s="483"/>
      <c r="C57" s="542" t="s">
        <v>226</v>
      </c>
      <c r="D57" s="541" t="s">
        <v>253</v>
      </c>
      <c r="E57" s="502" t="s">
        <v>281</v>
      </c>
      <c r="F57" s="509"/>
      <c r="G57" s="510">
        <f t="shared" si="11"/>
        <v>106.2</v>
      </c>
      <c r="H57" s="501">
        <f>výdavky!D80</f>
        <v>3200</v>
      </c>
      <c r="I57" s="501">
        <f>výdavky!E80</f>
        <v>3200</v>
      </c>
      <c r="J57" s="501">
        <f>výdavky!F80</f>
        <v>3200</v>
      </c>
      <c r="K57" s="501">
        <f>výdavky!G80</f>
        <v>3200</v>
      </c>
      <c r="L57" s="501">
        <f>výdavky!H80</f>
        <v>3200</v>
      </c>
    </row>
    <row r="58" spans="1:12" ht="12.75">
      <c r="A58" s="447">
        <f t="shared" si="10"/>
        <v>53</v>
      </c>
      <c r="B58" s="483"/>
      <c r="C58" s="542" t="s">
        <v>262</v>
      </c>
      <c r="D58" s="536" t="s">
        <v>264</v>
      </c>
      <c r="E58" s="493" t="s">
        <v>282</v>
      </c>
      <c r="F58" s="537"/>
      <c r="G58" s="543">
        <f t="shared" si="11"/>
        <v>0.5</v>
      </c>
      <c r="H58" s="496">
        <f>výdavky!D82</f>
        <v>15</v>
      </c>
      <c r="I58" s="496">
        <f>výdavky!E82</f>
        <v>15</v>
      </c>
      <c r="J58" s="496">
        <f>výdavky!F82</f>
        <v>15</v>
      </c>
      <c r="K58" s="496">
        <f>výdavky!G82</f>
        <v>15</v>
      </c>
      <c r="L58" s="496">
        <f>výdavky!H82</f>
        <v>15</v>
      </c>
    </row>
    <row r="59" spans="1:12" ht="12.75">
      <c r="A59" s="447">
        <f t="shared" si="10"/>
        <v>54</v>
      </c>
      <c r="B59" s="483"/>
      <c r="C59" s="542" t="s">
        <v>262</v>
      </c>
      <c r="D59" s="541" t="s">
        <v>266</v>
      </c>
      <c r="E59" s="498" t="s">
        <v>283</v>
      </c>
      <c r="F59" s="529"/>
      <c r="G59" s="510">
        <f t="shared" si="11"/>
        <v>13.3</v>
      </c>
      <c r="H59" s="501">
        <f>výdavky!D83</f>
        <v>400</v>
      </c>
      <c r="I59" s="501">
        <f>výdavky!E83</f>
        <v>300</v>
      </c>
      <c r="J59" s="501">
        <f>výdavky!F83</f>
        <v>400</v>
      </c>
      <c r="K59" s="501">
        <f>výdavky!G83</f>
        <v>400</v>
      </c>
      <c r="L59" s="501">
        <f>výdavky!H83</f>
        <v>400</v>
      </c>
    </row>
    <row r="60" spans="1:12" ht="12.75">
      <c r="A60" s="447">
        <f t="shared" si="10"/>
        <v>55</v>
      </c>
      <c r="B60" s="483"/>
      <c r="C60" s="542" t="s">
        <v>262</v>
      </c>
      <c r="D60" s="536" t="s">
        <v>268</v>
      </c>
      <c r="E60" s="563" t="s">
        <v>284</v>
      </c>
      <c r="F60" s="525"/>
      <c r="G60" s="543">
        <f t="shared" si="11"/>
        <v>0</v>
      </c>
      <c r="H60" s="496">
        <f>výdavky!D86</f>
        <v>0</v>
      </c>
      <c r="I60" s="496">
        <f>výdavky!E86</f>
        <v>0</v>
      </c>
      <c r="J60" s="496">
        <f>výdavky!F86</f>
        <v>0</v>
      </c>
      <c r="K60" s="496">
        <f>výdavky!G86</f>
        <v>0</v>
      </c>
      <c r="L60" s="496">
        <f>výdavky!H86</f>
        <v>0</v>
      </c>
    </row>
    <row r="61" spans="1:12" ht="12.75">
      <c r="A61" s="447">
        <f t="shared" si="10"/>
        <v>56</v>
      </c>
      <c r="B61" s="483"/>
      <c r="C61" s="542" t="s">
        <v>262</v>
      </c>
      <c r="D61" s="541" t="s">
        <v>272</v>
      </c>
      <c r="E61" s="498" t="s">
        <v>241</v>
      </c>
      <c r="F61" s="529"/>
      <c r="G61" s="510">
        <f t="shared" si="11"/>
        <v>6.6</v>
      </c>
      <c r="H61" s="501">
        <f>výdavky!D87</f>
        <v>200</v>
      </c>
      <c r="I61" s="501">
        <f>výdavky!E87</f>
        <v>100</v>
      </c>
      <c r="J61" s="501">
        <f>výdavky!F87</f>
        <v>200</v>
      </c>
      <c r="K61" s="501">
        <f>výdavky!G87</f>
        <v>200</v>
      </c>
      <c r="L61" s="501">
        <f>výdavky!H87</f>
        <v>200</v>
      </c>
    </row>
    <row r="62" spans="1:12" ht="12.75">
      <c r="A62" s="447">
        <v>57</v>
      </c>
      <c r="B62" s="462">
        <v>5</v>
      </c>
      <c r="C62" s="564" t="s">
        <v>285</v>
      </c>
      <c r="D62" s="464"/>
      <c r="E62" s="464"/>
      <c r="F62" s="565"/>
      <c r="G62" s="466">
        <v>0</v>
      </c>
      <c r="H62" s="468">
        <f aca="true" t="shared" si="12" ref="H62:L63">H63</f>
        <v>0</v>
      </c>
      <c r="I62" s="468">
        <f t="shared" si="12"/>
        <v>2729.9</v>
      </c>
      <c r="J62" s="468">
        <f t="shared" si="12"/>
        <v>10000</v>
      </c>
      <c r="K62" s="468">
        <f t="shared" si="12"/>
        <v>0</v>
      </c>
      <c r="L62" s="468">
        <f t="shared" si="12"/>
        <v>0</v>
      </c>
    </row>
    <row r="63" spans="1:12" ht="12.75">
      <c r="A63" s="447">
        <f>A62+1</f>
        <v>58</v>
      </c>
      <c r="B63" s="477"/>
      <c r="C63" s="478"/>
      <c r="D63" s="452" t="s">
        <v>215</v>
      </c>
      <c r="E63" s="479"/>
      <c r="F63" s="480"/>
      <c r="G63" s="481">
        <f>G64</f>
        <v>0</v>
      </c>
      <c r="H63" s="482">
        <f t="shared" si="12"/>
        <v>0</v>
      </c>
      <c r="I63" s="482">
        <f t="shared" si="12"/>
        <v>2729.9</v>
      </c>
      <c r="J63" s="482">
        <f t="shared" si="12"/>
        <v>10000</v>
      </c>
      <c r="K63" s="482">
        <f t="shared" si="12"/>
        <v>0</v>
      </c>
      <c r="L63" s="482">
        <f t="shared" si="12"/>
        <v>0</v>
      </c>
    </row>
    <row r="64" spans="1:12" ht="12.75">
      <c r="A64" s="447">
        <f>A63+1</f>
        <v>59</v>
      </c>
      <c r="B64" s="477"/>
      <c r="C64" s="566" t="s">
        <v>286</v>
      </c>
      <c r="D64" s="519" t="s">
        <v>287</v>
      </c>
      <c r="E64" s="486"/>
      <c r="F64" s="520"/>
      <c r="G64" s="521">
        <f>SUM(G65:G65)</f>
        <v>0</v>
      </c>
      <c r="H64" s="489">
        <f>SUM(H65:H66)</f>
        <v>0</v>
      </c>
      <c r="I64" s="489">
        <f>SUM(I65:I66)</f>
        <v>2729.9</v>
      </c>
      <c r="J64" s="489">
        <f>SUM(J65:J66)</f>
        <v>10000</v>
      </c>
      <c r="K64" s="489">
        <f>SUM(K65:K66)</f>
        <v>0</v>
      </c>
      <c r="L64" s="489">
        <f>SUM(L65:L66)</f>
        <v>0</v>
      </c>
    </row>
    <row r="65" spans="1:12" ht="12.75">
      <c r="A65" s="447">
        <f>A64+1</f>
        <v>60</v>
      </c>
      <c r="B65" s="477"/>
      <c r="C65" s="567">
        <v>630</v>
      </c>
      <c r="D65" s="527">
        <v>1</v>
      </c>
      <c r="E65" s="568" t="s">
        <v>288</v>
      </c>
      <c r="F65" s="569"/>
      <c r="G65" s="570"/>
      <c r="H65" s="558">
        <v>0</v>
      </c>
      <c r="I65" s="558">
        <v>0</v>
      </c>
      <c r="J65" s="558">
        <v>0</v>
      </c>
      <c r="K65" s="558">
        <v>0</v>
      </c>
      <c r="L65" s="558">
        <v>0</v>
      </c>
    </row>
    <row r="66" spans="1:12" ht="12.75">
      <c r="A66" s="571">
        <f>A65+1</f>
        <v>61</v>
      </c>
      <c r="B66" s="572"/>
      <c r="C66" s="573">
        <v>630</v>
      </c>
      <c r="D66" s="574">
        <v>2</v>
      </c>
      <c r="E66" s="575" t="s">
        <v>289</v>
      </c>
      <c r="F66" s="576"/>
      <c r="G66" s="577"/>
      <c r="H66" s="578">
        <v>0</v>
      </c>
      <c r="I66" s="578">
        <f>výdavky!E9</f>
        <v>2729.9</v>
      </c>
      <c r="J66" s="578">
        <f>výdavky!F9</f>
        <v>10000</v>
      </c>
      <c r="K66" s="578">
        <v>0</v>
      </c>
      <c r="L66" s="578">
        <v>0</v>
      </c>
    </row>
  </sheetData>
  <mergeCells count="2">
    <mergeCell ref="G3:L3"/>
    <mergeCell ref="D4:F6"/>
  </mergeCells>
  <printOptions/>
  <pageMargins left="0.5902777777777778" right="0.19652777777777777" top="0.5902777777777778" bottom="0.39375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22" sqref="I22"/>
    </sheetView>
  </sheetViews>
  <sheetFormatPr defaultColWidth="9.140625" defaultRowHeight="12.75"/>
  <cols>
    <col min="1" max="1" width="3.57421875" style="0" customWidth="1"/>
    <col min="2" max="2" width="4.14062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0" max="10" width="8.421875" style="0" customWidth="1"/>
  </cols>
  <sheetData>
    <row r="1" spans="1:12" ht="15.75">
      <c r="A1" s="411"/>
      <c r="B1" s="415" t="s">
        <v>290</v>
      </c>
      <c r="E1" s="415" t="s">
        <v>291</v>
      </c>
      <c r="F1" s="413"/>
      <c r="G1" s="579" t="e">
        <f>G2-G7</f>
        <v>#REF!</v>
      </c>
      <c r="H1" s="579"/>
      <c r="I1" s="579"/>
      <c r="J1" s="580">
        <f>J2-J7</f>
        <v>0</v>
      </c>
      <c r="K1" s="580">
        <f>K2-K7</f>
        <v>0</v>
      </c>
      <c r="L1" s="580">
        <f>L2-L7</f>
        <v>0</v>
      </c>
    </row>
    <row r="2" spans="1:12" ht="15.75">
      <c r="A2" s="411"/>
      <c r="B2" s="415"/>
      <c r="G2" s="581" t="e">
        <f>SUM(G8:G10)</f>
        <v>#REF!</v>
      </c>
      <c r="H2" s="581"/>
      <c r="I2" s="581"/>
      <c r="J2" s="423">
        <f>SUM(J8:J10)</f>
        <v>1100</v>
      </c>
      <c r="K2" s="423">
        <f>SUM(K8:K10)</f>
        <v>1100</v>
      </c>
      <c r="L2" s="423">
        <f>SUM(L8:L10)</f>
        <v>1100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2.75">
      <c r="A4" s="429"/>
      <c r="B4" s="430" t="s">
        <v>203</v>
      </c>
      <c r="C4" s="431" t="s">
        <v>204</v>
      </c>
      <c r="D4" s="1475" t="s">
        <v>205</v>
      </c>
      <c r="E4" s="1475"/>
      <c r="F4" s="1475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2.75">
      <c r="A5" s="429"/>
      <c r="B5" s="430" t="s">
        <v>206</v>
      </c>
      <c r="C5" s="431" t="s">
        <v>207</v>
      </c>
      <c r="D5" s="1475"/>
      <c r="E5" s="1475"/>
      <c r="F5" s="1475"/>
      <c r="G5" s="434" t="s">
        <v>208</v>
      </c>
      <c r="H5" s="582" t="s">
        <v>209</v>
      </c>
      <c r="I5" s="435" t="s">
        <v>210</v>
      </c>
      <c r="J5" s="435" t="s">
        <v>210</v>
      </c>
      <c r="K5" s="435" t="s">
        <v>210</v>
      </c>
      <c r="L5" s="435" t="s">
        <v>210</v>
      </c>
    </row>
    <row r="6" spans="1:12" ht="12.75">
      <c r="A6" s="583"/>
      <c r="B6" s="584" t="s">
        <v>211</v>
      </c>
      <c r="C6" s="585" t="s">
        <v>212</v>
      </c>
      <c r="D6" s="1475"/>
      <c r="E6" s="1475"/>
      <c r="F6" s="1475"/>
      <c r="G6" s="586">
        <v>1</v>
      </c>
      <c r="H6" s="586">
        <v>-2</v>
      </c>
      <c r="I6" s="587">
        <v>-1</v>
      </c>
      <c r="J6" s="587">
        <v>1</v>
      </c>
      <c r="K6" s="587">
        <v>2</v>
      </c>
      <c r="L6" s="587">
        <v>3</v>
      </c>
    </row>
    <row r="7" spans="1:12" ht="15">
      <c r="A7" s="447">
        <v>1</v>
      </c>
      <c r="B7" s="588" t="s">
        <v>290</v>
      </c>
      <c r="C7" s="589"/>
      <c r="D7" s="590"/>
      <c r="E7" s="591" t="s">
        <v>291</v>
      </c>
      <c r="F7" s="592"/>
      <c r="G7" s="593" t="e">
        <f>G11+#REF!</f>
        <v>#REF!</v>
      </c>
      <c r="H7" s="594">
        <f>SUM(H8:H10)</f>
        <v>520</v>
      </c>
      <c r="I7" s="446">
        <f>SUM(I8:I10)</f>
        <v>1000</v>
      </c>
      <c r="J7" s="446">
        <f>SUM(J8:J10)</f>
        <v>1100</v>
      </c>
      <c r="K7" s="446">
        <f>SUM(K8:K10)</f>
        <v>1100</v>
      </c>
      <c r="L7" s="446">
        <f>SUM(L8:L10)</f>
        <v>1100</v>
      </c>
    </row>
    <row r="8" spans="1:12" ht="12.75">
      <c r="A8" s="447">
        <f aca="true" t="shared" si="0" ref="A8:A14">A7+1</f>
        <v>2</v>
      </c>
      <c r="B8" s="595" t="s">
        <v>214</v>
      </c>
      <c r="C8" s="449" t="s">
        <v>215</v>
      </c>
      <c r="D8" s="450"/>
      <c r="E8" s="451"/>
      <c r="F8" s="452"/>
      <c r="G8" s="596" t="e">
        <f>G12+#REF!</f>
        <v>#REF!</v>
      </c>
      <c r="H8" s="597">
        <f>SUM(H12)</f>
        <v>520</v>
      </c>
      <c r="I8" s="598">
        <f>SUM(I12)</f>
        <v>1000</v>
      </c>
      <c r="J8" s="598">
        <f>SUM(J12)</f>
        <v>1100</v>
      </c>
      <c r="K8" s="598">
        <f>SUM(K12)</f>
        <v>1100</v>
      </c>
      <c r="L8" s="598">
        <f>SUM(L12)</f>
        <v>1100</v>
      </c>
    </row>
    <row r="9" spans="1:12" ht="12.75">
      <c r="A9" s="447">
        <f t="shared" si="0"/>
        <v>3</v>
      </c>
      <c r="B9" s="595" t="s">
        <v>216</v>
      </c>
      <c r="C9" s="449" t="s">
        <v>217</v>
      </c>
      <c r="D9" s="450"/>
      <c r="E9" s="451"/>
      <c r="F9" s="452"/>
      <c r="G9" s="596" t="e">
        <f>#REF!</f>
        <v>#REF!</v>
      </c>
      <c r="H9" s="599">
        <v>0</v>
      </c>
      <c r="I9" s="598">
        <v>0</v>
      </c>
      <c r="J9" s="598">
        <v>0</v>
      </c>
      <c r="K9" s="598">
        <v>0</v>
      </c>
      <c r="L9" s="598">
        <v>0</v>
      </c>
    </row>
    <row r="10" spans="1:12" ht="12.75">
      <c r="A10" s="447">
        <f t="shared" si="0"/>
        <v>4</v>
      </c>
      <c r="B10" s="600"/>
      <c r="C10" s="456" t="s">
        <v>218</v>
      </c>
      <c r="D10" s="457"/>
      <c r="E10" s="458"/>
      <c r="F10" s="459"/>
      <c r="G10" s="601">
        <v>0</v>
      </c>
      <c r="H10" s="602">
        <v>0</v>
      </c>
      <c r="I10" s="603">
        <v>0</v>
      </c>
      <c r="J10" s="603">
        <v>0</v>
      </c>
      <c r="K10" s="603">
        <v>0</v>
      </c>
      <c r="L10" s="603">
        <v>0</v>
      </c>
    </row>
    <row r="11" spans="1:12" ht="12.75">
      <c r="A11" s="447">
        <f t="shared" si="0"/>
        <v>5</v>
      </c>
      <c r="B11" s="604">
        <v>1</v>
      </c>
      <c r="C11" s="564" t="s">
        <v>292</v>
      </c>
      <c r="D11" s="464"/>
      <c r="E11" s="464"/>
      <c r="F11" s="465"/>
      <c r="G11" s="466" t="e">
        <f>SUM(G13)+#REF!</f>
        <v>#REF!</v>
      </c>
      <c r="H11" s="605">
        <f aca="true" t="shared" si="1" ref="H11:L12">H12</f>
        <v>520</v>
      </c>
      <c r="I11" s="468">
        <f t="shared" si="1"/>
        <v>1000</v>
      </c>
      <c r="J11" s="468">
        <f t="shared" si="1"/>
        <v>1100</v>
      </c>
      <c r="K11" s="468">
        <f t="shared" si="1"/>
        <v>1100</v>
      </c>
      <c r="L11" s="468">
        <f t="shared" si="1"/>
        <v>1100</v>
      </c>
    </row>
    <row r="12" spans="1:12" ht="12.75">
      <c r="A12" s="447">
        <f t="shared" si="0"/>
        <v>6</v>
      </c>
      <c r="B12" s="606"/>
      <c r="C12" s="478"/>
      <c r="D12" s="452" t="s">
        <v>215</v>
      </c>
      <c r="E12" s="479"/>
      <c r="F12" s="480"/>
      <c r="G12" s="481" t="e">
        <f>G13</f>
        <v>#REF!</v>
      </c>
      <c r="H12" s="607">
        <f t="shared" si="1"/>
        <v>520</v>
      </c>
      <c r="I12" s="482">
        <f t="shared" si="1"/>
        <v>1000</v>
      </c>
      <c r="J12" s="482">
        <f t="shared" si="1"/>
        <v>1100</v>
      </c>
      <c r="K12" s="482">
        <f t="shared" si="1"/>
        <v>1100</v>
      </c>
      <c r="L12" s="482">
        <f t="shared" si="1"/>
        <v>1100</v>
      </c>
    </row>
    <row r="13" spans="1:12" ht="12.75">
      <c r="A13" s="447">
        <f t="shared" si="0"/>
        <v>7</v>
      </c>
      <c r="B13" s="608"/>
      <c r="C13" s="609" t="s">
        <v>293</v>
      </c>
      <c r="D13" s="519" t="s">
        <v>292</v>
      </c>
      <c r="E13" s="610"/>
      <c r="F13" s="611"/>
      <c r="G13" s="521" t="e">
        <f>SUM(#REF!)</f>
        <v>#REF!</v>
      </c>
      <c r="H13" s="612">
        <f>SUM(H14:H16)</f>
        <v>520</v>
      </c>
      <c r="I13" s="489">
        <f>SUM(I14:I16)</f>
        <v>1000</v>
      </c>
      <c r="J13" s="489">
        <f>SUM(J14:J16)</f>
        <v>1100</v>
      </c>
      <c r="K13" s="489">
        <f>SUM(K14:K16)</f>
        <v>1100</v>
      </c>
      <c r="L13" s="489">
        <f>SUM(L14:L16)</f>
        <v>1100</v>
      </c>
    </row>
    <row r="14" spans="1:12" ht="12.75">
      <c r="A14" s="447">
        <f t="shared" si="0"/>
        <v>8</v>
      </c>
      <c r="B14" s="608"/>
      <c r="C14" s="540" t="s">
        <v>230</v>
      </c>
      <c r="D14" s="541" t="s">
        <v>251</v>
      </c>
      <c r="E14" s="498" t="s">
        <v>294</v>
      </c>
      <c r="F14" s="529"/>
      <c r="G14" s="530"/>
      <c r="H14" s="613">
        <f>výdavky!D99</f>
        <v>320</v>
      </c>
      <c r="I14" s="501">
        <f>výdavky!E99</f>
        <v>250</v>
      </c>
      <c r="J14" s="501">
        <f>výdavky!F99</f>
        <v>250</v>
      </c>
      <c r="K14" s="501">
        <f>výdavky!G99</f>
        <v>250</v>
      </c>
      <c r="L14" s="501">
        <f>výdavky!H99</f>
        <v>250</v>
      </c>
    </row>
    <row r="15" spans="1:12" ht="12.75">
      <c r="A15" s="447"/>
      <c r="B15" s="608"/>
      <c r="C15" s="540" t="s">
        <v>240</v>
      </c>
      <c r="D15" s="541" t="s">
        <v>253</v>
      </c>
      <c r="E15" s="498" t="s">
        <v>241</v>
      </c>
      <c r="F15" s="529"/>
      <c r="G15" s="530"/>
      <c r="H15" s="613">
        <v>0</v>
      </c>
      <c r="I15" s="501">
        <f>výdavky!E100</f>
        <v>550</v>
      </c>
      <c r="J15" s="501">
        <f>výdavky!F100</f>
        <v>600</v>
      </c>
      <c r="K15" s="501">
        <f>výdavky!G100</f>
        <v>600</v>
      </c>
      <c r="L15" s="501">
        <f>výdavky!H100</f>
        <v>600</v>
      </c>
    </row>
    <row r="16" spans="1:12" ht="12.75">
      <c r="A16" s="571">
        <f>A14+1</f>
        <v>9</v>
      </c>
      <c r="B16" s="614"/>
      <c r="C16" s="615" t="s">
        <v>240</v>
      </c>
      <c r="D16" s="616" t="s">
        <v>264</v>
      </c>
      <c r="E16" s="617" t="s">
        <v>295</v>
      </c>
      <c r="F16" s="618"/>
      <c r="G16" s="619"/>
      <c r="H16" s="620">
        <f>výdavky!D101</f>
        <v>200</v>
      </c>
      <c r="I16" s="621">
        <f>výdavky!E101</f>
        <v>200</v>
      </c>
      <c r="J16" s="621">
        <f>výdavky!F101</f>
        <v>250</v>
      </c>
      <c r="K16" s="621">
        <f>výdavky!G101</f>
        <v>250</v>
      </c>
      <c r="L16" s="621">
        <f>výdavky!H101</f>
        <v>250</v>
      </c>
    </row>
  </sheetData>
  <mergeCells count="2">
    <mergeCell ref="G3:L3"/>
    <mergeCell ref="D4:F6"/>
  </mergeCells>
  <printOptions/>
  <pageMargins left="0.5902777777777778" right="0.19652777777777777" top="0.5902777777777778" bottom="0.39375" header="0.5118055555555556" footer="0.5118055555555556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L14" sqref="L14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10" max="12" width="7.28125" style="0" customWidth="1"/>
  </cols>
  <sheetData>
    <row r="1" spans="1:12" ht="15.75">
      <c r="A1" s="483"/>
      <c r="B1" s="622" t="s">
        <v>296</v>
      </c>
      <c r="C1" s="412"/>
      <c r="D1" s="412"/>
      <c r="E1" s="623" t="s">
        <v>297</v>
      </c>
      <c r="F1" s="412"/>
      <c r="G1" s="624" t="e">
        <f>G2-G7</f>
        <v>#REF!</v>
      </c>
      <c r="H1" s="624"/>
      <c r="I1" s="624"/>
      <c r="J1" s="625">
        <f>J2-J7</f>
        <v>0</v>
      </c>
      <c r="K1" s="625">
        <f>K2-K7</f>
        <v>0</v>
      </c>
      <c r="L1" s="625">
        <f>L2-L7</f>
        <v>0</v>
      </c>
    </row>
    <row r="2" spans="1:12" ht="15.75">
      <c r="A2" s="483"/>
      <c r="B2" s="622"/>
      <c r="C2" s="412"/>
      <c r="D2" s="412"/>
      <c r="E2" s="412"/>
      <c r="F2" s="412"/>
      <c r="G2" s="579" t="e">
        <f>SUM(G8:G10)</f>
        <v>#REF!</v>
      </c>
      <c r="H2" s="579"/>
      <c r="I2" s="579"/>
      <c r="J2" s="626">
        <f>SUM(J8:J10)</f>
        <v>63680</v>
      </c>
      <c r="K2" s="626">
        <f>SUM(K8:K10)</f>
        <v>58330</v>
      </c>
      <c r="L2" s="626">
        <f>SUM(L8:L10)</f>
        <v>58330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2.75" customHeight="1">
      <c r="A4" s="429"/>
      <c r="B4" s="430" t="s">
        <v>203</v>
      </c>
      <c r="C4" s="431" t="s">
        <v>204</v>
      </c>
      <c r="D4" s="1474" t="s">
        <v>205</v>
      </c>
      <c r="E4" s="1474"/>
      <c r="F4" s="1474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1.25" customHeight="1">
      <c r="A5" s="429"/>
      <c r="B5" s="430" t="s">
        <v>206</v>
      </c>
      <c r="C5" s="431" t="s">
        <v>207</v>
      </c>
      <c r="D5" s="1474"/>
      <c r="E5" s="1474"/>
      <c r="F5" s="1474"/>
      <c r="G5" s="434" t="s">
        <v>208</v>
      </c>
      <c r="H5" s="435" t="s">
        <v>209</v>
      </c>
      <c r="I5" s="435" t="s">
        <v>209</v>
      </c>
      <c r="J5" s="435" t="s">
        <v>209</v>
      </c>
      <c r="K5" s="436" t="s">
        <v>210</v>
      </c>
      <c r="L5" s="436" t="s">
        <v>210</v>
      </c>
    </row>
    <row r="6" spans="1:12" ht="12.75">
      <c r="A6" s="429"/>
      <c r="B6" s="430" t="s">
        <v>211</v>
      </c>
      <c r="C6" s="431" t="s">
        <v>212</v>
      </c>
      <c r="D6" s="1474"/>
      <c r="E6" s="1474"/>
      <c r="F6" s="1474"/>
      <c r="G6" s="437">
        <v>1</v>
      </c>
      <c r="H6" s="587">
        <v>-2</v>
      </c>
      <c r="I6" s="587">
        <v>-1</v>
      </c>
      <c r="J6" s="587">
        <v>1</v>
      </c>
      <c r="K6" s="439">
        <v>2</v>
      </c>
      <c r="L6" s="439">
        <v>3</v>
      </c>
    </row>
    <row r="7" spans="1:12" ht="15">
      <c r="A7" s="440">
        <v>1</v>
      </c>
      <c r="B7" s="627" t="s">
        <v>296</v>
      </c>
      <c r="C7" s="628"/>
      <c r="D7" s="629"/>
      <c r="E7" s="443" t="s">
        <v>297</v>
      </c>
      <c r="F7" s="630"/>
      <c r="G7" s="445" t="e">
        <f>G11+#REF!+#REF!+#REF!+#REF!+#REF!+G28+#REF!</f>
        <v>#REF!</v>
      </c>
      <c r="H7" s="446">
        <f>SUM(H8:H10)</f>
        <v>58379</v>
      </c>
      <c r="I7" s="446">
        <f>SUM(I8:I10)</f>
        <v>63728</v>
      </c>
      <c r="J7" s="446">
        <f>SUM(J8:J10)</f>
        <v>63680</v>
      </c>
      <c r="K7" s="446">
        <f>SUM(K8:K10)</f>
        <v>58330</v>
      </c>
      <c r="L7" s="446">
        <f>SUM(L8:L10)</f>
        <v>58330</v>
      </c>
    </row>
    <row r="8" spans="1:12" ht="12.75">
      <c r="A8" s="447">
        <f aca="true" t="shared" si="0" ref="A8:A17">A7+1</f>
        <v>2</v>
      </c>
      <c r="B8" s="595" t="s">
        <v>214</v>
      </c>
      <c r="C8" s="449" t="s">
        <v>215</v>
      </c>
      <c r="D8" s="450"/>
      <c r="E8" s="451"/>
      <c r="F8" s="452"/>
      <c r="G8" s="596" t="e">
        <f>G12+#REF!+#REF!+#REF!+#REF!+#REF!+#REF!+G29</f>
        <v>#REF!</v>
      </c>
      <c r="H8" s="598">
        <f>SUM(H12,H29)</f>
        <v>58379</v>
      </c>
      <c r="I8" s="598">
        <f>SUM(I12,I29)</f>
        <v>57728</v>
      </c>
      <c r="J8" s="598">
        <f>SUM(J12,J29)</f>
        <v>57680</v>
      </c>
      <c r="K8" s="598">
        <f>SUM(K12,K29)</f>
        <v>58330</v>
      </c>
      <c r="L8" s="598">
        <f>SUM(L12,L29)</f>
        <v>58330</v>
      </c>
    </row>
    <row r="9" spans="1:12" ht="12.75">
      <c r="A9" s="447">
        <f t="shared" si="0"/>
        <v>3</v>
      </c>
      <c r="B9" s="595" t="s">
        <v>216</v>
      </c>
      <c r="C9" s="449" t="s">
        <v>217</v>
      </c>
      <c r="D9" s="450"/>
      <c r="E9" s="451"/>
      <c r="F9" s="452"/>
      <c r="G9" s="596" t="e">
        <f>'Program 1'!#REF!+#REF!+#REF!</f>
        <v>#REF!</v>
      </c>
      <c r="H9" s="598">
        <f>H25</f>
        <v>0</v>
      </c>
      <c r="I9" s="598">
        <f>I25</f>
        <v>6000</v>
      </c>
      <c r="J9" s="598">
        <f>J25</f>
        <v>6000</v>
      </c>
      <c r="K9" s="598">
        <f>K25</f>
        <v>0</v>
      </c>
      <c r="L9" s="598">
        <f>L25</f>
        <v>0</v>
      </c>
    </row>
    <row r="10" spans="1:12" ht="12.75">
      <c r="A10" s="447">
        <f t="shared" si="0"/>
        <v>4</v>
      </c>
      <c r="B10" s="600"/>
      <c r="C10" s="456" t="s">
        <v>218</v>
      </c>
      <c r="D10" s="457"/>
      <c r="E10" s="458"/>
      <c r="F10" s="459"/>
      <c r="G10" s="601" t="e">
        <f>#REF!</f>
        <v>#REF!</v>
      </c>
      <c r="H10" s="603">
        <v>0</v>
      </c>
      <c r="I10" s="603">
        <v>0</v>
      </c>
      <c r="J10" s="602">
        <v>0</v>
      </c>
      <c r="K10" s="603">
        <v>0</v>
      </c>
      <c r="L10" s="603">
        <v>0</v>
      </c>
    </row>
    <row r="11" spans="1:12" ht="12.75">
      <c r="A11" s="447">
        <f t="shared" si="0"/>
        <v>5</v>
      </c>
      <c r="B11" s="631">
        <v>1</v>
      </c>
      <c r="C11" s="560" t="s">
        <v>298</v>
      </c>
      <c r="D11" s="464"/>
      <c r="E11" s="464"/>
      <c r="F11" s="465"/>
      <c r="G11" s="466" t="e">
        <f>G13+G26+#REF!</f>
        <v>#REF!</v>
      </c>
      <c r="H11" s="468">
        <f>SUM(H12+H25)</f>
        <v>51779</v>
      </c>
      <c r="I11" s="468">
        <f>SUM(I12+I25)</f>
        <v>60428</v>
      </c>
      <c r="J11" s="468">
        <f>SUM(J12+J25)</f>
        <v>59630</v>
      </c>
      <c r="K11" s="468">
        <f>SUM(K12+K25)</f>
        <v>54330</v>
      </c>
      <c r="L11" s="468">
        <f>SUM(L12+L25)</f>
        <v>54330</v>
      </c>
    </row>
    <row r="12" spans="1:12" s="517" customFormat="1" ht="12.75">
      <c r="A12" s="447">
        <f t="shared" si="0"/>
        <v>6</v>
      </c>
      <c r="B12" s="632"/>
      <c r="C12" s="551"/>
      <c r="D12" s="451" t="s">
        <v>215</v>
      </c>
      <c r="E12" s="479"/>
      <c r="F12" s="480"/>
      <c r="G12" s="481">
        <f aca="true" t="shared" si="1" ref="G12:L12">G13</f>
        <v>1801.0999999999997</v>
      </c>
      <c r="H12" s="482">
        <f t="shared" si="1"/>
        <v>51779</v>
      </c>
      <c r="I12" s="482">
        <f t="shared" si="1"/>
        <v>54428</v>
      </c>
      <c r="J12" s="482">
        <f t="shared" si="1"/>
        <v>53630</v>
      </c>
      <c r="K12" s="482">
        <f t="shared" si="1"/>
        <v>54330</v>
      </c>
      <c r="L12" s="482">
        <f t="shared" si="1"/>
        <v>54330</v>
      </c>
    </row>
    <row r="13" spans="1:12" ht="12.75">
      <c r="A13" s="447">
        <f t="shared" si="0"/>
        <v>7</v>
      </c>
      <c r="B13" s="633"/>
      <c r="C13" s="634" t="s">
        <v>299</v>
      </c>
      <c r="D13" s="519" t="s">
        <v>300</v>
      </c>
      <c r="E13" s="486"/>
      <c r="F13" s="487"/>
      <c r="G13" s="521">
        <f>SUM(G14:G21)</f>
        <v>1801.0999999999997</v>
      </c>
      <c r="H13" s="489">
        <f>SUM(H14,H15,H16,H17,H18,H19,H20,H21,H22)</f>
        <v>51779</v>
      </c>
      <c r="I13" s="489">
        <f>SUM(I14,I15,I16,I17,I18,I19,I20,I21,I22,I23)</f>
        <v>54428</v>
      </c>
      <c r="J13" s="489">
        <f>SUM(J14,J15,J16,J17,J18,J19,J20,J21,J22,J23)</f>
        <v>53630</v>
      </c>
      <c r="K13" s="489">
        <f>SUM(K14,K15,K16,K17,K18,K19,K20,K21,K22,K23)</f>
        <v>54330</v>
      </c>
      <c r="L13" s="489">
        <f>SUM(L14,L15,L16,L17,L18,L19,L20,L21,L22,L23)</f>
        <v>54330</v>
      </c>
    </row>
    <row r="14" spans="1:12" ht="12.75">
      <c r="A14" s="447">
        <f t="shared" si="0"/>
        <v>8</v>
      </c>
      <c r="B14" s="633"/>
      <c r="C14" s="542" t="s">
        <v>224</v>
      </c>
      <c r="D14" s="536" t="s">
        <v>251</v>
      </c>
      <c r="E14" s="635" t="s">
        <v>280</v>
      </c>
      <c r="F14" s="537"/>
      <c r="G14" s="543">
        <f aca="true" t="shared" si="2" ref="G14:G22">ROUND(K14/30.126,1)</f>
        <v>1078.8</v>
      </c>
      <c r="H14" s="496">
        <f>výdavky!D109</f>
        <v>31500</v>
      </c>
      <c r="I14" s="496">
        <f>výdavky!E109</f>
        <v>31500</v>
      </c>
      <c r="J14" s="636">
        <f>výdavky!F109</f>
        <v>32500</v>
      </c>
      <c r="K14" s="496">
        <f>výdavky!G109</f>
        <v>32500</v>
      </c>
      <c r="L14" s="496">
        <f>výdavky!H109</f>
        <v>32500</v>
      </c>
    </row>
    <row r="15" spans="1:12" ht="12.75">
      <c r="A15" s="447">
        <f t="shared" si="0"/>
        <v>9</v>
      </c>
      <c r="B15" s="633"/>
      <c r="C15" s="542" t="s">
        <v>226</v>
      </c>
      <c r="D15" s="541" t="s">
        <v>253</v>
      </c>
      <c r="E15" s="637" t="s">
        <v>227</v>
      </c>
      <c r="F15" s="509"/>
      <c r="G15" s="510">
        <f t="shared" si="2"/>
        <v>398.3</v>
      </c>
      <c r="H15" s="501">
        <f>výdavky!D110</f>
        <v>11500</v>
      </c>
      <c r="I15" s="501">
        <f>výdavky!E110</f>
        <v>11500</v>
      </c>
      <c r="J15" s="613">
        <f>výdavky!F110</f>
        <v>12000</v>
      </c>
      <c r="K15" s="501">
        <f>výdavky!G110</f>
        <v>12000</v>
      </c>
      <c r="L15" s="501">
        <f>výdavky!H110</f>
        <v>12000</v>
      </c>
    </row>
    <row r="16" spans="1:12" ht="12.75">
      <c r="A16" s="447">
        <f t="shared" si="0"/>
        <v>10</v>
      </c>
      <c r="B16" s="633"/>
      <c r="C16" s="542" t="s">
        <v>228</v>
      </c>
      <c r="D16" s="536" t="s">
        <v>264</v>
      </c>
      <c r="E16" s="635" t="s">
        <v>301</v>
      </c>
      <c r="F16" s="537"/>
      <c r="G16" s="543">
        <f t="shared" si="2"/>
        <v>2</v>
      </c>
      <c r="H16" s="496">
        <f>výdavky!D111</f>
        <v>60</v>
      </c>
      <c r="I16" s="496">
        <f>výdavky!E111</f>
        <v>50</v>
      </c>
      <c r="J16" s="636">
        <f>výdavky!F111</f>
        <v>60</v>
      </c>
      <c r="K16" s="496">
        <f>výdavky!G111</f>
        <v>60</v>
      </c>
      <c r="L16" s="496">
        <f>výdavky!H111</f>
        <v>60</v>
      </c>
    </row>
    <row r="17" spans="1:12" ht="12.75">
      <c r="A17" s="447">
        <f t="shared" si="0"/>
        <v>11</v>
      </c>
      <c r="B17" s="633"/>
      <c r="C17" s="542" t="s">
        <v>230</v>
      </c>
      <c r="D17" s="541" t="s">
        <v>266</v>
      </c>
      <c r="E17" s="637" t="s">
        <v>231</v>
      </c>
      <c r="F17" s="509"/>
      <c r="G17" s="510">
        <f t="shared" si="2"/>
        <v>49.8</v>
      </c>
      <c r="H17" s="501">
        <f>výdavky!D112</f>
        <v>1650</v>
      </c>
      <c r="I17" s="501">
        <f>výdavky!E112</f>
        <v>1900</v>
      </c>
      <c r="J17" s="613">
        <f>výdavky!F112</f>
        <v>1500</v>
      </c>
      <c r="K17" s="501">
        <f>výdavky!G112</f>
        <v>1500</v>
      </c>
      <c r="L17" s="501">
        <f>výdavky!H112</f>
        <v>1500</v>
      </c>
    </row>
    <row r="18" spans="1:12" ht="12.75">
      <c r="A18" s="447">
        <v>12</v>
      </c>
      <c r="B18" s="633"/>
      <c r="C18" s="542" t="s">
        <v>232</v>
      </c>
      <c r="D18" s="536" t="s">
        <v>268</v>
      </c>
      <c r="E18" s="635" t="s">
        <v>302</v>
      </c>
      <c r="F18" s="537"/>
      <c r="G18" s="543">
        <f t="shared" si="2"/>
        <v>38.2</v>
      </c>
      <c r="H18" s="496">
        <f>výdavky!D113</f>
        <v>1403</v>
      </c>
      <c r="I18" s="496">
        <f>výdavky!E113</f>
        <v>1808</v>
      </c>
      <c r="J18" s="636">
        <f>výdavky!F113</f>
        <v>1150</v>
      </c>
      <c r="K18" s="496">
        <f>výdavky!G113</f>
        <v>1150</v>
      </c>
      <c r="L18" s="496">
        <f>výdavky!H113</f>
        <v>1150</v>
      </c>
    </row>
    <row r="19" spans="1:12" ht="12.75">
      <c r="A19" s="447">
        <f>A18+1</f>
        <v>13</v>
      </c>
      <c r="B19" s="633"/>
      <c r="C19" s="542" t="s">
        <v>234</v>
      </c>
      <c r="D19" s="541" t="s">
        <v>272</v>
      </c>
      <c r="E19" s="637" t="s">
        <v>303</v>
      </c>
      <c r="F19" s="509"/>
      <c r="G19" s="510">
        <f t="shared" si="2"/>
        <v>205.8</v>
      </c>
      <c r="H19" s="501">
        <f>výdavky!D119</f>
        <v>5200</v>
      </c>
      <c r="I19" s="501">
        <f>výdavky!E119</f>
        <v>5300</v>
      </c>
      <c r="J19" s="613">
        <f>výdavky!F119</f>
        <v>5500</v>
      </c>
      <c r="K19" s="501">
        <f>výdavky!G119</f>
        <v>6200</v>
      </c>
      <c r="L19" s="501">
        <f>výdavky!H119</f>
        <v>6200</v>
      </c>
    </row>
    <row r="20" spans="1:12" ht="12.75">
      <c r="A20" s="447">
        <f>A19+1</f>
        <v>14</v>
      </c>
      <c r="B20" s="633"/>
      <c r="C20" s="542" t="s">
        <v>236</v>
      </c>
      <c r="D20" s="536" t="s">
        <v>275</v>
      </c>
      <c r="E20" s="635" t="s">
        <v>304</v>
      </c>
      <c r="F20" s="537"/>
      <c r="G20" s="543">
        <f t="shared" si="2"/>
        <v>16.6</v>
      </c>
      <c r="H20" s="496">
        <f>výdavky!D123</f>
        <v>36</v>
      </c>
      <c r="I20" s="496">
        <f>výdavky!E123</f>
        <v>1400</v>
      </c>
      <c r="J20" s="636">
        <f>výdavky!F123</f>
        <v>500</v>
      </c>
      <c r="K20" s="496">
        <f>výdavky!G123</f>
        <v>500</v>
      </c>
      <c r="L20" s="496">
        <f>výdavky!H123</f>
        <v>500</v>
      </c>
    </row>
    <row r="21" spans="1:12" ht="12.75">
      <c r="A21" s="447">
        <f>A20+1</f>
        <v>15</v>
      </c>
      <c r="B21" s="633"/>
      <c r="C21" s="542" t="s">
        <v>240</v>
      </c>
      <c r="D21" s="541" t="s">
        <v>305</v>
      </c>
      <c r="E21" s="637" t="s">
        <v>306</v>
      </c>
      <c r="F21" s="509"/>
      <c r="G21" s="510">
        <f t="shared" si="2"/>
        <v>11.6</v>
      </c>
      <c r="H21" s="501">
        <f>výdavky!D124</f>
        <v>364</v>
      </c>
      <c r="I21" s="501">
        <f>výdavky!E124</f>
        <v>870</v>
      </c>
      <c r="J21" s="613">
        <f>výdavky!F124</f>
        <v>350</v>
      </c>
      <c r="K21" s="501">
        <f>výdavky!G124</f>
        <v>350</v>
      </c>
      <c r="L21" s="501">
        <f>výdavky!H124</f>
        <v>350</v>
      </c>
    </row>
    <row r="22" spans="1:12" ht="12.75">
      <c r="A22" s="447">
        <v>16</v>
      </c>
      <c r="B22" s="633"/>
      <c r="C22" s="542" t="s">
        <v>250</v>
      </c>
      <c r="D22" s="541" t="s">
        <v>307</v>
      </c>
      <c r="E22" s="637" t="s">
        <v>308</v>
      </c>
      <c r="F22" s="509"/>
      <c r="G22" s="510">
        <f t="shared" si="2"/>
        <v>2.3</v>
      </c>
      <c r="H22" s="501">
        <f>výdavky!D125</f>
        <v>66</v>
      </c>
      <c r="I22" s="501">
        <f>výdavky!E125</f>
        <v>0</v>
      </c>
      <c r="J22" s="613">
        <f>výdavky!F125</f>
        <v>70</v>
      </c>
      <c r="K22" s="501">
        <f>výdavky!G125</f>
        <v>70</v>
      </c>
      <c r="L22" s="501">
        <f>výdavky!H125</f>
        <v>70</v>
      </c>
    </row>
    <row r="23" spans="1:12" ht="12.75">
      <c r="A23" s="447"/>
      <c r="B23" s="633"/>
      <c r="C23" s="542" t="s">
        <v>240</v>
      </c>
      <c r="D23" s="541" t="s">
        <v>309</v>
      </c>
      <c r="E23" s="637" t="s">
        <v>310</v>
      </c>
      <c r="F23" s="509"/>
      <c r="G23" s="510"/>
      <c r="H23" s="501">
        <v>0</v>
      </c>
      <c r="I23" s="501">
        <f>výdavky!E126</f>
        <v>100</v>
      </c>
      <c r="J23" s="613">
        <f>výdavky!F126</f>
        <v>0</v>
      </c>
      <c r="K23" s="501">
        <f>výdavky!G126</f>
        <v>0</v>
      </c>
      <c r="L23" s="501">
        <f>výdavky!H126</f>
        <v>0</v>
      </c>
    </row>
    <row r="24" spans="1:12" ht="12.75">
      <c r="A24" s="447"/>
      <c r="B24" s="638">
        <v>2</v>
      </c>
      <c r="C24" s="1442" t="s">
        <v>311</v>
      </c>
      <c r="D24" s="1442"/>
      <c r="E24" s="1442"/>
      <c r="F24" s="639"/>
      <c r="G24" s="640"/>
      <c r="H24" s="641">
        <f>SUM(H25)</f>
        <v>0</v>
      </c>
      <c r="I24" s="641">
        <f>SUM(I25)</f>
        <v>6000</v>
      </c>
      <c r="J24" s="642">
        <f>SUM(J25)</f>
        <v>6000</v>
      </c>
      <c r="K24" s="641">
        <f>SUM(K25)</f>
        <v>0</v>
      </c>
      <c r="L24" s="641">
        <f>SUM(L25)</f>
        <v>0</v>
      </c>
    </row>
    <row r="25" spans="1:12" ht="12.75">
      <c r="A25" s="447">
        <v>17</v>
      </c>
      <c r="B25" s="643"/>
      <c r="C25" s="644"/>
      <c r="D25" s="451" t="s">
        <v>217</v>
      </c>
      <c r="E25" s="479"/>
      <c r="F25" s="480"/>
      <c r="G25" s="481" t="e">
        <f>'Program 3'!#REF!</f>
        <v>#REF!</v>
      </c>
      <c r="H25" s="482">
        <f aca="true" t="shared" si="3" ref="H25:L26">H26</f>
        <v>0</v>
      </c>
      <c r="I25" s="482">
        <f t="shared" si="3"/>
        <v>6000</v>
      </c>
      <c r="J25" s="482">
        <f t="shared" si="3"/>
        <v>6000</v>
      </c>
      <c r="K25" s="482">
        <f t="shared" si="3"/>
        <v>0</v>
      </c>
      <c r="L25" s="482">
        <f t="shared" si="3"/>
        <v>0</v>
      </c>
    </row>
    <row r="26" spans="1:12" ht="12.75">
      <c r="A26" s="447">
        <f>A25+1</f>
        <v>18</v>
      </c>
      <c r="B26" s="633"/>
      <c r="C26" s="634" t="s">
        <v>299</v>
      </c>
      <c r="D26" s="519" t="s">
        <v>300</v>
      </c>
      <c r="E26" s="486"/>
      <c r="F26" s="487"/>
      <c r="G26" s="534">
        <f>SUM(G27:G27)</f>
        <v>0</v>
      </c>
      <c r="H26" s="535">
        <f t="shared" si="3"/>
        <v>0</v>
      </c>
      <c r="I26" s="535">
        <f t="shared" si="3"/>
        <v>6000</v>
      </c>
      <c r="J26" s="535">
        <f t="shared" si="3"/>
        <v>6000</v>
      </c>
      <c r="K26" s="535">
        <f t="shared" si="3"/>
        <v>0</v>
      </c>
      <c r="L26" s="535">
        <f t="shared" si="3"/>
        <v>0</v>
      </c>
    </row>
    <row r="27" spans="1:12" ht="12.75">
      <c r="A27" s="447">
        <f>A26+1</f>
        <v>19</v>
      </c>
      <c r="B27" s="633"/>
      <c r="C27" s="542" t="s">
        <v>312</v>
      </c>
      <c r="D27" s="541" t="s">
        <v>313</v>
      </c>
      <c r="E27" s="637" t="s">
        <v>314</v>
      </c>
      <c r="F27" s="509"/>
      <c r="G27" s="510">
        <f>ROUND(K27/30.126,1)</f>
        <v>0</v>
      </c>
      <c r="H27" s="501">
        <v>0</v>
      </c>
      <c r="I27" s="501">
        <f>výdavky!E398</f>
        <v>6000</v>
      </c>
      <c r="J27" s="613">
        <f>výdavky!F398</f>
        <v>6000</v>
      </c>
      <c r="K27" s="501">
        <f>výdavky!G398</f>
        <v>0</v>
      </c>
      <c r="L27" s="501">
        <f>výdavky!H398</f>
        <v>0</v>
      </c>
    </row>
    <row r="28" spans="1:12" ht="12.75">
      <c r="A28" s="447">
        <v>20</v>
      </c>
      <c r="B28" s="631">
        <v>3</v>
      </c>
      <c r="C28" s="560" t="s">
        <v>315</v>
      </c>
      <c r="D28" s="464"/>
      <c r="E28" s="464"/>
      <c r="F28" s="465"/>
      <c r="G28" s="466">
        <f>SUM(G30)</f>
        <v>132.8</v>
      </c>
      <c r="H28" s="468">
        <f aca="true" t="shared" si="4" ref="H28:L29">H29</f>
        <v>6600</v>
      </c>
      <c r="I28" s="468">
        <f t="shared" si="4"/>
        <v>3300</v>
      </c>
      <c r="J28" s="468">
        <f t="shared" si="4"/>
        <v>4050</v>
      </c>
      <c r="K28" s="468">
        <f t="shared" si="4"/>
        <v>4000</v>
      </c>
      <c r="L28" s="468">
        <f t="shared" si="4"/>
        <v>4000</v>
      </c>
    </row>
    <row r="29" spans="1:12" s="517" customFormat="1" ht="12.75">
      <c r="A29" s="447">
        <f aca="true" t="shared" si="5" ref="A29:A35">A28+1</f>
        <v>21</v>
      </c>
      <c r="B29" s="632"/>
      <c r="C29" s="551"/>
      <c r="D29" s="451" t="s">
        <v>215</v>
      </c>
      <c r="E29" s="479"/>
      <c r="F29" s="480"/>
      <c r="G29" s="481">
        <f>G30</f>
        <v>132.8</v>
      </c>
      <c r="H29" s="482">
        <f t="shared" si="4"/>
        <v>6600</v>
      </c>
      <c r="I29" s="482">
        <f t="shared" si="4"/>
        <v>3300</v>
      </c>
      <c r="J29" s="482">
        <f t="shared" si="4"/>
        <v>4050</v>
      </c>
      <c r="K29" s="482">
        <f t="shared" si="4"/>
        <v>4000</v>
      </c>
      <c r="L29" s="482">
        <f t="shared" si="4"/>
        <v>4000</v>
      </c>
    </row>
    <row r="30" spans="1:12" ht="12.75">
      <c r="A30" s="447">
        <f t="shared" si="5"/>
        <v>22</v>
      </c>
      <c r="B30" s="633"/>
      <c r="C30" s="634" t="s">
        <v>316</v>
      </c>
      <c r="D30" s="519" t="s">
        <v>317</v>
      </c>
      <c r="E30" s="610"/>
      <c r="F30" s="611"/>
      <c r="G30" s="521">
        <f aca="true" t="shared" si="6" ref="G30:L30">SUM(G31:G35)</f>
        <v>132.8</v>
      </c>
      <c r="H30" s="489">
        <f t="shared" si="6"/>
        <v>6600</v>
      </c>
      <c r="I30" s="489">
        <f t="shared" si="6"/>
        <v>3300</v>
      </c>
      <c r="J30" s="489">
        <f t="shared" si="6"/>
        <v>4050</v>
      </c>
      <c r="K30" s="489">
        <f t="shared" si="6"/>
        <v>4000</v>
      </c>
      <c r="L30" s="489">
        <f t="shared" si="6"/>
        <v>4000</v>
      </c>
    </row>
    <row r="31" spans="1:12" ht="12.75">
      <c r="A31" s="447">
        <f t="shared" si="5"/>
        <v>23</v>
      </c>
      <c r="B31" s="645"/>
      <c r="C31" s="542" t="s">
        <v>230</v>
      </c>
      <c r="D31" s="646">
        <v>1</v>
      </c>
      <c r="E31" s="502" t="s">
        <v>318</v>
      </c>
      <c r="F31" s="509"/>
      <c r="G31" s="510">
        <f>ROUND(K31/30.126,1)</f>
        <v>76.3</v>
      </c>
      <c r="H31" s="501">
        <f>výdavky!D129</f>
        <v>2300</v>
      </c>
      <c r="I31" s="501">
        <f>výdavky!E129</f>
        <v>2000</v>
      </c>
      <c r="J31" s="613">
        <f>výdavky!F129</f>
        <v>2300</v>
      </c>
      <c r="K31" s="501">
        <f>výdavky!G129</f>
        <v>2300</v>
      </c>
      <c r="L31" s="501">
        <f>výdavky!H129</f>
        <v>2300</v>
      </c>
    </row>
    <row r="32" spans="1:12" ht="12.75">
      <c r="A32" s="447">
        <f t="shared" si="5"/>
        <v>24</v>
      </c>
      <c r="B32" s="645"/>
      <c r="C32" s="542" t="s">
        <v>232</v>
      </c>
      <c r="D32" s="647">
        <v>2</v>
      </c>
      <c r="E32" s="493" t="s">
        <v>233</v>
      </c>
      <c r="F32" s="537"/>
      <c r="G32" s="543">
        <f>ROUND(K32/30.126,1)</f>
        <v>16.6</v>
      </c>
      <c r="H32" s="496">
        <f>výdavky!D130</f>
        <v>2600</v>
      </c>
      <c r="I32" s="496">
        <f>výdavky!E130</f>
        <v>200</v>
      </c>
      <c r="J32" s="636">
        <f>výdavky!F130</f>
        <v>500</v>
      </c>
      <c r="K32" s="496">
        <f>výdavky!G130</f>
        <v>500</v>
      </c>
      <c r="L32" s="496">
        <f>výdavky!H130</f>
        <v>500</v>
      </c>
    </row>
    <row r="33" spans="1:12" ht="12.75">
      <c r="A33" s="447">
        <f t="shared" si="5"/>
        <v>25</v>
      </c>
      <c r="B33" s="645"/>
      <c r="C33" s="542" t="s">
        <v>234</v>
      </c>
      <c r="D33" s="646">
        <v>3</v>
      </c>
      <c r="E33" s="502" t="s">
        <v>303</v>
      </c>
      <c r="F33" s="509"/>
      <c r="G33" s="510">
        <f>ROUND(K33/30.126,1)</f>
        <v>21.6</v>
      </c>
      <c r="H33" s="501">
        <f>výdavky!D136</f>
        <v>650</v>
      </c>
      <c r="I33" s="501">
        <f>výdavky!E136</f>
        <v>550</v>
      </c>
      <c r="J33" s="613">
        <f>výdavky!F136</f>
        <v>700</v>
      </c>
      <c r="K33" s="501">
        <f>výdavky!G136</f>
        <v>650</v>
      </c>
      <c r="L33" s="501">
        <f>výdavky!H136</f>
        <v>650</v>
      </c>
    </row>
    <row r="34" spans="1:12" ht="12.75">
      <c r="A34" s="447">
        <f t="shared" si="5"/>
        <v>26</v>
      </c>
      <c r="B34" s="645"/>
      <c r="C34" s="542" t="s">
        <v>236</v>
      </c>
      <c r="D34" s="648">
        <v>4</v>
      </c>
      <c r="E34" s="498" t="s">
        <v>319</v>
      </c>
      <c r="F34" s="529"/>
      <c r="G34" s="510">
        <f>ROUND(K34/30.126,1)</f>
        <v>1.7</v>
      </c>
      <c r="H34" s="501">
        <f>výdavky!D140</f>
        <v>50</v>
      </c>
      <c r="I34" s="501">
        <f>výdavky!E140</f>
        <v>50</v>
      </c>
      <c r="J34" s="613">
        <f>výdavky!F140</f>
        <v>50</v>
      </c>
      <c r="K34" s="501">
        <f>výdavky!G140</f>
        <v>50</v>
      </c>
      <c r="L34" s="501">
        <f>výdavky!H140</f>
        <v>50</v>
      </c>
    </row>
    <row r="35" spans="1:12" ht="12.75">
      <c r="A35" s="571">
        <f t="shared" si="5"/>
        <v>27</v>
      </c>
      <c r="B35" s="649"/>
      <c r="C35" s="650" t="s">
        <v>240</v>
      </c>
      <c r="D35" s="651">
        <v>5</v>
      </c>
      <c r="E35" s="652" t="s">
        <v>320</v>
      </c>
      <c r="F35" s="653"/>
      <c r="G35" s="654">
        <f>ROUND(K35/30.126,1)</f>
        <v>16.6</v>
      </c>
      <c r="H35" s="655">
        <f>výdavky!D142</f>
        <v>1000</v>
      </c>
      <c r="I35" s="655">
        <f>výdavky!E142</f>
        <v>500</v>
      </c>
      <c r="J35" s="656">
        <f>výdavky!F142</f>
        <v>500</v>
      </c>
      <c r="K35" s="655">
        <f>výdavky!G142</f>
        <v>500</v>
      </c>
      <c r="L35" s="655">
        <f>výdavky!H142</f>
        <v>500</v>
      </c>
    </row>
    <row r="36" ht="12.75">
      <c r="F36" s="412"/>
    </row>
    <row r="37" ht="12.75">
      <c r="F37" s="412"/>
    </row>
  </sheetData>
  <mergeCells count="3">
    <mergeCell ref="G3:L3"/>
    <mergeCell ref="D4:F6"/>
    <mergeCell ref="C24:E24"/>
  </mergeCells>
  <printOptions/>
  <pageMargins left="0.7875" right="0.19652777777777777" top="0.5902777777777778" bottom="0.39375" header="0.5118055555555556" footer="0.5118055555555556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">
      <selection activeCell="L36" sqref="L36"/>
    </sheetView>
  </sheetViews>
  <sheetFormatPr defaultColWidth="9.140625" defaultRowHeight="12.75"/>
  <cols>
    <col min="1" max="1" width="2.8515625" style="411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0" max="12" width="8.421875" style="0" customWidth="1"/>
  </cols>
  <sheetData>
    <row r="1" spans="1:12" ht="15.75">
      <c r="A1" s="415" t="s">
        <v>321</v>
      </c>
      <c r="D1" s="415" t="s">
        <v>322</v>
      </c>
      <c r="E1" s="413"/>
      <c r="F1" s="413"/>
      <c r="G1" s="579" t="e">
        <f>G2-G7</f>
        <v>#REF!</v>
      </c>
      <c r="H1" s="579"/>
      <c r="I1" s="579"/>
      <c r="J1" s="580">
        <f>J2-J7</f>
        <v>0</v>
      </c>
      <c r="K1" s="580">
        <f>K2-K7</f>
        <v>0</v>
      </c>
      <c r="L1" s="580">
        <f>L2-L7</f>
        <v>0</v>
      </c>
    </row>
    <row r="2" spans="2:12" ht="15.75">
      <c r="B2" s="415"/>
      <c r="G2" s="581" t="e">
        <f>SUM(G8:G10)</f>
        <v>#REF!</v>
      </c>
      <c r="H2" s="581"/>
      <c r="I2" s="581"/>
      <c r="J2" s="423">
        <f>SUM(J8:J10)</f>
        <v>123570</v>
      </c>
      <c r="K2" s="423">
        <f>SUM(K8:K10)</f>
        <v>124270</v>
      </c>
      <c r="L2" s="423">
        <f>SUM(L8:L10)</f>
        <v>124770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5.75" customHeight="1">
      <c r="A4" s="429"/>
      <c r="B4" s="430" t="s">
        <v>203</v>
      </c>
      <c r="C4" s="431" t="s">
        <v>204</v>
      </c>
      <c r="D4" s="1475" t="s">
        <v>205</v>
      </c>
      <c r="E4" s="1475"/>
      <c r="F4" s="1475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2" customHeight="1">
      <c r="A5" s="429"/>
      <c r="B5" s="430" t="s">
        <v>206</v>
      </c>
      <c r="C5" s="431" t="s">
        <v>207</v>
      </c>
      <c r="D5" s="1475"/>
      <c r="E5" s="1475"/>
      <c r="F5" s="1475"/>
      <c r="G5" s="434" t="s">
        <v>208</v>
      </c>
      <c r="H5" s="435" t="s">
        <v>210</v>
      </c>
      <c r="I5" s="435" t="s">
        <v>210</v>
      </c>
      <c r="J5" s="436" t="s">
        <v>209</v>
      </c>
      <c r="K5" s="435" t="s">
        <v>210</v>
      </c>
      <c r="L5" s="435" t="s">
        <v>210</v>
      </c>
    </row>
    <row r="6" spans="1:12" ht="12.75">
      <c r="A6" s="583"/>
      <c r="B6" s="584" t="s">
        <v>211</v>
      </c>
      <c r="C6" s="585" t="s">
        <v>212</v>
      </c>
      <c r="D6" s="1475"/>
      <c r="E6" s="1475"/>
      <c r="F6" s="1475"/>
      <c r="G6" s="586">
        <v>1</v>
      </c>
      <c r="H6" s="587">
        <v>-2</v>
      </c>
      <c r="I6" s="587">
        <v>-1</v>
      </c>
      <c r="J6" s="657">
        <v>1</v>
      </c>
      <c r="K6" s="587">
        <v>2</v>
      </c>
      <c r="L6" s="587">
        <v>3</v>
      </c>
    </row>
    <row r="7" spans="1:12" ht="15">
      <c r="A7" s="440">
        <v>1</v>
      </c>
      <c r="B7" s="441" t="s">
        <v>323</v>
      </c>
      <c r="C7" s="442"/>
      <c r="D7" s="629"/>
      <c r="E7" s="443" t="s">
        <v>322</v>
      </c>
      <c r="F7" s="630"/>
      <c r="G7" s="658" t="e">
        <f>G11+G19</f>
        <v>#REF!</v>
      </c>
      <c r="H7" s="446">
        <f>SUM(H8:H10)</f>
        <v>105169</v>
      </c>
      <c r="I7" s="446">
        <f>SUM(I8:I10)</f>
        <v>123120</v>
      </c>
      <c r="J7" s="446">
        <f>SUM(J8:J10)</f>
        <v>123570</v>
      </c>
      <c r="K7" s="446">
        <f>SUM(K8:K10)</f>
        <v>124270</v>
      </c>
      <c r="L7" s="446">
        <f>SUM(L8:L10)</f>
        <v>124770</v>
      </c>
    </row>
    <row r="8" spans="1:12" ht="12.75">
      <c r="A8" s="447">
        <f aca="true" t="shared" si="0" ref="A8:A13">A7+1</f>
        <v>2</v>
      </c>
      <c r="B8" s="448" t="s">
        <v>214</v>
      </c>
      <c r="C8" s="449" t="s">
        <v>215</v>
      </c>
      <c r="D8" s="450"/>
      <c r="E8" s="451"/>
      <c r="F8" s="452"/>
      <c r="G8" s="596" t="e">
        <f>G12+#REF!</f>
        <v>#REF!</v>
      </c>
      <c r="H8" s="598">
        <f>SUM(H12,H24,H34,H29)</f>
        <v>105169</v>
      </c>
      <c r="I8" s="598">
        <f>SUM(I12,I24,I34,I29)</f>
        <v>123120</v>
      </c>
      <c r="J8" s="598">
        <f>SUM(J12,J24,J29,J34)</f>
        <v>123570</v>
      </c>
      <c r="K8" s="598">
        <f>SUM(K12,K24,K34,K29)</f>
        <v>124270</v>
      </c>
      <c r="L8" s="598">
        <f>SUM(L12,L24,L34,L29)</f>
        <v>124770</v>
      </c>
    </row>
    <row r="9" spans="1:12" ht="12.75">
      <c r="A9" s="447">
        <f t="shared" si="0"/>
        <v>3</v>
      </c>
      <c r="B9" s="448" t="s">
        <v>216</v>
      </c>
      <c r="C9" s="449" t="s">
        <v>217</v>
      </c>
      <c r="D9" s="450"/>
      <c r="E9" s="451"/>
      <c r="F9" s="452"/>
      <c r="G9" s="596" t="e">
        <f>G20</f>
        <v>#REF!</v>
      </c>
      <c r="H9" s="598">
        <f>SUM(H20,H45)</f>
        <v>0</v>
      </c>
      <c r="I9" s="598">
        <f>SUM(I20,I45)</f>
        <v>0</v>
      </c>
      <c r="J9" s="598">
        <f>SUM(J20,J45)</f>
        <v>0</v>
      </c>
      <c r="K9" s="598">
        <f>SUM(K20,K45)</f>
        <v>0</v>
      </c>
      <c r="L9" s="598">
        <f>SUM(L20,L45)</f>
        <v>0</v>
      </c>
    </row>
    <row r="10" spans="1:12" ht="12.75">
      <c r="A10" s="447">
        <f t="shared" si="0"/>
        <v>4</v>
      </c>
      <c r="B10" s="455"/>
      <c r="C10" s="456" t="s">
        <v>218</v>
      </c>
      <c r="D10" s="457"/>
      <c r="E10" s="458"/>
      <c r="F10" s="459"/>
      <c r="G10" s="601">
        <v>0</v>
      </c>
      <c r="H10" s="603">
        <v>0</v>
      </c>
      <c r="I10" s="603">
        <v>0</v>
      </c>
      <c r="J10" s="659">
        <v>0</v>
      </c>
      <c r="K10" s="603">
        <v>0</v>
      </c>
      <c r="L10" s="603">
        <v>0</v>
      </c>
    </row>
    <row r="11" spans="1:12" ht="12.75">
      <c r="A11" s="447">
        <f t="shared" si="0"/>
        <v>5</v>
      </c>
      <c r="B11" s="559">
        <v>1</v>
      </c>
      <c r="C11" s="560" t="s">
        <v>324</v>
      </c>
      <c r="D11" s="464"/>
      <c r="E11" s="464"/>
      <c r="F11" s="465"/>
      <c r="G11" s="466">
        <f>G13</f>
        <v>141.1</v>
      </c>
      <c r="H11" s="468">
        <f aca="true" t="shared" si="1" ref="H11:L12">H12</f>
        <v>14280</v>
      </c>
      <c r="I11" s="468">
        <f t="shared" si="1"/>
        <v>13850</v>
      </c>
      <c r="J11" s="468">
        <f t="shared" si="1"/>
        <v>14600</v>
      </c>
      <c r="K11" s="468">
        <f t="shared" si="1"/>
        <v>14600</v>
      </c>
      <c r="L11" s="468">
        <f t="shared" si="1"/>
        <v>14600</v>
      </c>
    </row>
    <row r="12" spans="1:12" s="517" customFormat="1" ht="12.75">
      <c r="A12" s="447">
        <f t="shared" si="0"/>
        <v>6</v>
      </c>
      <c r="B12" s="561"/>
      <c r="C12" s="551"/>
      <c r="D12" s="452" t="s">
        <v>215</v>
      </c>
      <c r="E12" s="479"/>
      <c r="F12" s="480"/>
      <c r="G12" s="481">
        <f>G13</f>
        <v>141.1</v>
      </c>
      <c r="H12" s="482">
        <f t="shared" si="1"/>
        <v>14280</v>
      </c>
      <c r="I12" s="482">
        <f t="shared" si="1"/>
        <v>13850</v>
      </c>
      <c r="J12" s="660">
        <f t="shared" si="1"/>
        <v>14600</v>
      </c>
      <c r="K12" s="482">
        <f t="shared" si="1"/>
        <v>14600</v>
      </c>
      <c r="L12" s="482">
        <f t="shared" si="1"/>
        <v>14600</v>
      </c>
    </row>
    <row r="13" spans="1:12" ht="12.75">
      <c r="A13" s="447">
        <f t="shared" si="0"/>
        <v>7</v>
      </c>
      <c r="B13" s="483"/>
      <c r="C13" s="562" t="s">
        <v>325</v>
      </c>
      <c r="D13" s="519" t="s">
        <v>326</v>
      </c>
      <c r="E13" s="486"/>
      <c r="F13" s="487"/>
      <c r="G13" s="521">
        <f>SUM(G16:G16)</f>
        <v>141.1</v>
      </c>
      <c r="H13" s="489">
        <f>SUM(H14,H15,H16,H17,H18)</f>
        <v>14280</v>
      </c>
      <c r="I13" s="489">
        <f>SUM(I14,I15,I16,I17,I18)</f>
        <v>13850</v>
      </c>
      <c r="J13" s="489">
        <f>SUM(J14,J15,J16,J17,J18)</f>
        <v>14600</v>
      </c>
      <c r="K13" s="489">
        <f>SUM(K14,K15,K16,K17,K18)</f>
        <v>14600</v>
      </c>
      <c r="L13" s="489">
        <f>SUM(L14,L15,L16,L17,L18)</f>
        <v>14600</v>
      </c>
    </row>
    <row r="14" spans="1:12" ht="12.75">
      <c r="A14" s="447">
        <v>8</v>
      </c>
      <c r="B14" s="483"/>
      <c r="C14" s="491" t="s">
        <v>224</v>
      </c>
      <c r="D14" s="523">
        <v>1</v>
      </c>
      <c r="E14" s="524" t="s">
        <v>327</v>
      </c>
      <c r="F14" s="525"/>
      <c r="G14" s="543"/>
      <c r="H14" s="496">
        <f>výdavky!D171</f>
        <v>7340</v>
      </c>
      <c r="I14" s="496">
        <f>výdavky!E171</f>
        <v>7500</v>
      </c>
      <c r="J14" s="661">
        <f>výdavky!F171</f>
        <v>7500</v>
      </c>
      <c r="K14" s="496">
        <f>výdavky!G171</f>
        <v>7500</v>
      </c>
      <c r="L14" s="496">
        <f>výdavky!H171</f>
        <v>7500</v>
      </c>
    </row>
    <row r="15" spans="1:12" ht="12.75">
      <c r="A15" s="447">
        <v>9</v>
      </c>
      <c r="B15" s="483"/>
      <c r="C15" s="491" t="s">
        <v>226</v>
      </c>
      <c r="D15" s="527">
        <v>2</v>
      </c>
      <c r="E15" s="528" t="s">
        <v>227</v>
      </c>
      <c r="F15" s="529"/>
      <c r="G15" s="510"/>
      <c r="H15" s="501">
        <f>výdavky!D173</f>
        <v>2640</v>
      </c>
      <c r="I15" s="501">
        <f>výdavky!E173</f>
        <v>2850</v>
      </c>
      <c r="J15" s="662">
        <f>výdavky!F173</f>
        <v>2850</v>
      </c>
      <c r="K15" s="501">
        <f>výdavky!G173</f>
        <v>2850</v>
      </c>
      <c r="L15" s="501">
        <f>výdavky!H173</f>
        <v>2850</v>
      </c>
    </row>
    <row r="16" spans="1:12" ht="12.75">
      <c r="A16" s="447">
        <v>10</v>
      </c>
      <c r="B16" s="483"/>
      <c r="C16" s="491" t="s">
        <v>232</v>
      </c>
      <c r="D16" s="536" t="s">
        <v>264</v>
      </c>
      <c r="E16" s="493" t="s">
        <v>233</v>
      </c>
      <c r="F16" s="537"/>
      <c r="G16" s="543">
        <f>ROUND(K16/30.126,1)</f>
        <v>141.1</v>
      </c>
      <c r="H16" s="496">
        <f>výdavky!D176</f>
        <v>4300</v>
      </c>
      <c r="I16" s="496">
        <f>výdavky!E176</f>
        <v>3500</v>
      </c>
      <c r="J16" s="661">
        <f>výdavky!F176</f>
        <v>4250</v>
      </c>
      <c r="K16" s="496">
        <f>výdavky!G176</f>
        <v>4250</v>
      </c>
      <c r="L16" s="496">
        <f>výdavky!H176</f>
        <v>4250</v>
      </c>
    </row>
    <row r="17" spans="1:12" ht="12.75">
      <c r="A17" s="447">
        <f>A16+1</f>
        <v>11</v>
      </c>
      <c r="B17" s="483"/>
      <c r="C17" s="491" t="s">
        <v>234</v>
      </c>
      <c r="D17" s="541" t="s">
        <v>266</v>
      </c>
      <c r="E17" s="502" t="s">
        <v>328</v>
      </c>
      <c r="F17" s="509"/>
      <c r="G17" s="510"/>
      <c r="H17" s="501">
        <f>výdavky!D177</f>
        <v>0</v>
      </c>
      <c r="I17" s="501">
        <f>výdavky!E177</f>
        <v>0</v>
      </c>
      <c r="J17" s="662">
        <f>výdavky!F177</f>
        <v>0</v>
      </c>
      <c r="K17" s="501">
        <f>výdavky!G177</f>
        <v>0</v>
      </c>
      <c r="L17" s="501">
        <f>výdavky!H177</f>
        <v>0</v>
      </c>
    </row>
    <row r="18" spans="1:12" ht="12.75">
      <c r="A18" s="447">
        <f>A17+1</f>
        <v>12</v>
      </c>
      <c r="B18" s="483"/>
      <c r="C18" s="491" t="s">
        <v>240</v>
      </c>
      <c r="D18" s="541" t="s">
        <v>268</v>
      </c>
      <c r="E18" s="502" t="s">
        <v>241</v>
      </c>
      <c r="F18" s="509"/>
      <c r="G18" s="510"/>
      <c r="H18" s="501">
        <f>výdavky!D178</f>
        <v>0</v>
      </c>
      <c r="I18" s="501">
        <f>výdavky!E178</f>
        <v>0</v>
      </c>
      <c r="J18" s="662">
        <f>výdavky!F178</f>
        <v>0</v>
      </c>
      <c r="K18" s="501">
        <f>výdavky!G178</f>
        <v>0</v>
      </c>
      <c r="L18" s="501">
        <f>výdavky!H178</f>
        <v>0</v>
      </c>
    </row>
    <row r="19" spans="1:12" ht="12.75">
      <c r="A19" s="447">
        <v>13</v>
      </c>
      <c r="B19" s="559">
        <v>2</v>
      </c>
      <c r="C19" s="560" t="s">
        <v>329</v>
      </c>
      <c r="D19" s="464"/>
      <c r="E19" s="464"/>
      <c r="F19" s="465"/>
      <c r="G19" s="466" t="e">
        <f>#REF!+G21</f>
        <v>#REF!</v>
      </c>
      <c r="H19" s="468">
        <f>H20+SUM(H20,H24)</f>
        <v>3000</v>
      </c>
      <c r="I19" s="468">
        <f>I20+SUM(I20,I24)</f>
        <v>30000</v>
      </c>
      <c r="J19" s="663">
        <f>J20+SUM(J20,J24)</f>
        <v>10000</v>
      </c>
      <c r="K19" s="468">
        <f>K20+SUM(K20,K24)</f>
        <v>10000</v>
      </c>
      <c r="L19" s="468">
        <f>L20+SUM(L20,L24)</f>
        <v>10000</v>
      </c>
    </row>
    <row r="20" spans="1:12" ht="12.75">
      <c r="A20" s="447">
        <f aca="true" t="shared" si="2" ref="A20:A31">A19+1</f>
        <v>14</v>
      </c>
      <c r="B20" s="483"/>
      <c r="C20" s="491"/>
      <c r="D20" s="451" t="s">
        <v>217</v>
      </c>
      <c r="E20" s="508"/>
      <c r="F20" s="480"/>
      <c r="G20" s="481" t="e">
        <f aca="true" t="shared" si="3" ref="G20:L20">G21</f>
        <v>#REF!</v>
      </c>
      <c r="H20" s="482">
        <f t="shared" si="3"/>
        <v>0</v>
      </c>
      <c r="I20" s="482">
        <f t="shared" si="3"/>
        <v>0</v>
      </c>
      <c r="J20" s="660">
        <f t="shared" si="3"/>
        <v>0</v>
      </c>
      <c r="K20" s="482">
        <f t="shared" si="3"/>
        <v>0</v>
      </c>
      <c r="L20" s="482">
        <f t="shared" si="3"/>
        <v>0</v>
      </c>
    </row>
    <row r="21" spans="1:12" ht="12.75">
      <c r="A21" s="447">
        <f t="shared" si="2"/>
        <v>15</v>
      </c>
      <c r="B21" s="483"/>
      <c r="C21" s="562" t="s">
        <v>330</v>
      </c>
      <c r="D21" s="519" t="s">
        <v>331</v>
      </c>
      <c r="E21" s="486"/>
      <c r="F21" s="664"/>
      <c r="G21" s="534" t="e">
        <f>SUM(G24:G31)</f>
        <v>#REF!</v>
      </c>
      <c r="H21" s="535">
        <f>SUM(H22,H23)</f>
        <v>0</v>
      </c>
      <c r="I21" s="535">
        <f>SUM(I22,I23)</f>
        <v>0</v>
      </c>
      <c r="J21" s="535">
        <f>SUM(J22,J23)</f>
        <v>0</v>
      </c>
      <c r="K21" s="535">
        <f>SUM(K22,K23)</f>
        <v>0</v>
      </c>
      <c r="L21" s="535">
        <f>SUM(L22,L23)</f>
        <v>0</v>
      </c>
    </row>
    <row r="22" spans="1:12" ht="12.75">
      <c r="A22" s="447">
        <f t="shared" si="2"/>
        <v>16</v>
      </c>
      <c r="B22" s="483"/>
      <c r="C22" s="542" t="s">
        <v>332</v>
      </c>
      <c r="D22" s="536" t="s">
        <v>251</v>
      </c>
      <c r="E22" s="524" t="s">
        <v>333</v>
      </c>
      <c r="F22" s="525"/>
      <c r="G22" s="543"/>
      <c r="H22" s="496">
        <v>0</v>
      </c>
      <c r="I22" s="496">
        <v>0</v>
      </c>
      <c r="J22" s="665">
        <f>výdavky!F409</f>
        <v>0</v>
      </c>
      <c r="K22" s="496">
        <v>0</v>
      </c>
      <c r="L22" s="496">
        <v>0</v>
      </c>
    </row>
    <row r="23" spans="1:12" ht="12.75">
      <c r="A23" s="447">
        <f t="shared" si="2"/>
        <v>17</v>
      </c>
      <c r="B23" s="483"/>
      <c r="C23" s="542" t="s">
        <v>332</v>
      </c>
      <c r="D23" s="541" t="s">
        <v>253</v>
      </c>
      <c r="E23" s="528" t="s">
        <v>334</v>
      </c>
      <c r="F23" s="529"/>
      <c r="G23" s="510"/>
      <c r="H23" s="501">
        <v>0</v>
      </c>
      <c r="I23" s="501">
        <v>0</v>
      </c>
      <c r="J23" s="666">
        <v>0</v>
      </c>
      <c r="K23" s="501">
        <v>0</v>
      </c>
      <c r="L23" s="501">
        <v>0</v>
      </c>
    </row>
    <row r="24" spans="1:12" ht="12.75">
      <c r="A24" s="447">
        <f t="shared" si="2"/>
        <v>18</v>
      </c>
      <c r="B24" s="490"/>
      <c r="C24" s="491"/>
      <c r="D24" s="1443" t="s">
        <v>215</v>
      </c>
      <c r="E24" s="1443"/>
      <c r="F24" s="667"/>
      <c r="G24" s="668"/>
      <c r="H24" s="669">
        <f>SUM(H25)</f>
        <v>3000</v>
      </c>
      <c r="I24" s="669">
        <f>SUM(I25)</f>
        <v>30000</v>
      </c>
      <c r="J24" s="660">
        <f>SUM(J25)</f>
        <v>10000</v>
      </c>
      <c r="K24" s="669">
        <f>SUM(K25)</f>
        <v>10000</v>
      </c>
      <c r="L24" s="669">
        <f>SUM(L25)</f>
        <v>10000</v>
      </c>
    </row>
    <row r="25" spans="1:12" ht="12.75">
      <c r="A25" s="447">
        <f t="shared" si="2"/>
        <v>19</v>
      </c>
      <c r="B25" s="490"/>
      <c r="C25" s="562" t="s">
        <v>330</v>
      </c>
      <c r="D25" s="519" t="s">
        <v>331</v>
      </c>
      <c r="E25" s="486"/>
      <c r="F25" s="664"/>
      <c r="G25" s="534" t="e">
        <f>SUM(G28:G31)</f>
        <v>#REF!</v>
      </c>
      <c r="H25" s="535">
        <f>SUM(H26,H27)</f>
        <v>3000</v>
      </c>
      <c r="I25" s="535">
        <f>SUM(I26,I27)</f>
        <v>30000</v>
      </c>
      <c r="J25" s="535">
        <f>SUM(J26,J27)</f>
        <v>10000</v>
      </c>
      <c r="K25" s="535">
        <f>SUM(K26,K27)</f>
        <v>10000</v>
      </c>
      <c r="L25" s="535">
        <f>SUM(L26,L27)</f>
        <v>10000</v>
      </c>
    </row>
    <row r="26" spans="1:12" ht="12.75">
      <c r="A26" s="447">
        <f t="shared" si="2"/>
        <v>20</v>
      </c>
      <c r="B26" s="490"/>
      <c r="C26" s="670">
        <v>633</v>
      </c>
      <c r="D26" s="536" t="s">
        <v>264</v>
      </c>
      <c r="E26" s="524" t="s">
        <v>233</v>
      </c>
      <c r="F26" s="524"/>
      <c r="G26" s="524"/>
      <c r="H26" s="496">
        <f>výdavky!D185</f>
        <v>0</v>
      </c>
      <c r="I26" s="496">
        <f>výdavky!E185</f>
        <v>0</v>
      </c>
      <c r="J26" s="665">
        <f>výdavky!F185</f>
        <v>0</v>
      </c>
      <c r="K26" s="496">
        <f>výdavky!G185</f>
        <v>0</v>
      </c>
      <c r="L26" s="496">
        <f>výdavky!H185</f>
        <v>0</v>
      </c>
    </row>
    <row r="27" spans="1:12" ht="12.75">
      <c r="A27" s="447">
        <f t="shared" si="2"/>
        <v>21</v>
      </c>
      <c r="B27" s="490"/>
      <c r="C27" s="670">
        <v>635</v>
      </c>
      <c r="D27" s="541" t="s">
        <v>266</v>
      </c>
      <c r="E27" s="528" t="s">
        <v>335</v>
      </c>
      <c r="F27" s="671"/>
      <c r="G27" s="510"/>
      <c r="H27" s="501">
        <f>výdavky!D187</f>
        <v>3000</v>
      </c>
      <c r="I27" s="501">
        <f>výdavky!E187</f>
        <v>30000</v>
      </c>
      <c r="J27" s="666">
        <f>výdavky!F187</f>
        <v>10000</v>
      </c>
      <c r="K27" s="501">
        <f>výdavky!G187</f>
        <v>10000</v>
      </c>
      <c r="L27" s="501">
        <f>výdavky!H187</f>
        <v>10000</v>
      </c>
    </row>
    <row r="28" spans="1:12" ht="12.75">
      <c r="A28" s="447">
        <f t="shared" si="2"/>
        <v>22</v>
      </c>
      <c r="B28" s="559">
        <v>3</v>
      </c>
      <c r="C28" s="560" t="s">
        <v>336</v>
      </c>
      <c r="D28" s="464"/>
      <c r="E28" s="464"/>
      <c r="F28" s="465"/>
      <c r="G28" s="466" t="e">
        <f>#REF!+G31</f>
        <v>#REF!</v>
      </c>
      <c r="H28" s="468">
        <f>SUM(H29)</f>
        <v>0</v>
      </c>
      <c r="I28" s="468">
        <f>SUM(I29)</f>
        <v>0</v>
      </c>
      <c r="J28" s="468">
        <f>SUM(J29)</f>
        <v>1000</v>
      </c>
      <c r="K28" s="468">
        <f>SUM(K29)</f>
        <v>1000</v>
      </c>
      <c r="L28" s="468">
        <f>SUM(L29)</f>
        <v>1000</v>
      </c>
    </row>
    <row r="29" spans="1:12" ht="12.75">
      <c r="A29" s="447">
        <f t="shared" si="2"/>
        <v>23</v>
      </c>
      <c r="B29" s="561"/>
      <c r="C29" s="551"/>
      <c r="D29" s="452" t="s">
        <v>215</v>
      </c>
      <c r="E29" s="479"/>
      <c r="F29" s="480"/>
      <c r="G29" s="481">
        <f aca="true" t="shared" si="4" ref="G29:L29">G30</f>
        <v>0</v>
      </c>
      <c r="H29" s="482">
        <f t="shared" si="4"/>
        <v>0</v>
      </c>
      <c r="I29" s="482">
        <f t="shared" si="4"/>
        <v>0</v>
      </c>
      <c r="J29" s="660">
        <f t="shared" si="4"/>
        <v>1000</v>
      </c>
      <c r="K29" s="482">
        <f t="shared" si="4"/>
        <v>1000</v>
      </c>
      <c r="L29" s="482">
        <f t="shared" si="4"/>
        <v>1000</v>
      </c>
    </row>
    <row r="30" spans="1:12" s="674" customFormat="1" ht="12.75">
      <c r="A30" s="447">
        <f t="shared" si="2"/>
        <v>24</v>
      </c>
      <c r="B30" s="672"/>
      <c r="C30" s="562" t="s">
        <v>337</v>
      </c>
      <c r="D30" s="519" t="s">
        <v>336</v>
      </c>
      <c r="E30" s="486"/>
      <c r="F30" s="673"/>
      <c r="G30" s="521"/>
      <c r="H30" s="489">
        <f>SUM(H31:H31)</f>
        <v>0</v>
      </c>
      <c r="I30" s="489">
        <f>SUM(I31:I31)</f>
        <v>0</v>
      </c>
      <c r="J30" s="489">
        <f>SUM(J31:J31)</f>
        <v>1000</v>
      </c>
      <c r="K30" s="489">
        <f>SUM(K31:K31)</f>
        <v>1000</v>
      </c>
      <c r="L30" s="489">
        <f>SUM(L31:L31)</f>
        <v>1000</v>
      </c>
    </row>
    <row r="31" spans="1:12" ht="12.75">
      <c r="A31" s="447">
        <f t="shared" si="2"/>
        <v>25</v>
      </c>
      <c r="B31" s="675"/>
      <c r="C31" s="542" t="s">
        <v>240</v>
      </c>
      <c r="D31" s="536" t="s">
        <v>251</v>
      </c>
      <c r="E31" s="635" t="s">
        <v>338</v>
      </c>
      <c r="F31" s="676"/>
      <c r="G31" s="543">
        <f>ROUND(K31/30.126,1)</f>
        <v>33.2</v>
      </c>
      <c r="H31" s="496">
        <v>0</v>
      </c>
      <c r="I31" s="496">
        <v>0</v>
      </c>
      <c r="J31" s="665">
        <f>výdavky!F182</f>
        <v>1000</v>
      </c>
      <c r="K31" s="496">
        <f>výdavky!G182</f>
        <v>1000</v>
      </c>
      <c r="L31" s="496">
        <f>výdavky!H182</f>
        <v>1000</v>
      </c>
    </row>
    <row r="32" spans="1:12" ht="12.75">
      <c r="A32" s="447"/>
      <c r="B32" s="677"/>
      <c r="C32" s="678">
        <v>637</v>
      </c>
      <c r="D32" s="497">
        <v>2</v>
      </c>
      <c r="E32" s="679"/>
      <c r="F32" s="680"/>
      <c r="G32" s="510"/>
      <c r="H32" s="501"/>
      <c r="I32" s="501"/>
      <c r="J32" s="666"/>
      <c r="K32" s="501"/>
      <c r="L32" s="501"/>
    </row>
    <row r="33" spans="1:12" ht="12.75">
      <c r="A33" s="447">
        <v>30</v>
      </c>
      <c r="B33" s="681">
        <v>4</v>
      </c>
      <c r="C33" s="560" t="s">
        <v>339</v>
      </c>
      <c r="D33" s="682"/>
      <c r="E33" s="682"/>
      <c r="F33" s="683"/>
      <c r="G33" s="684" t="e">
        <f>#REF!+#REF!</f>
        <v>#REF!</v>
      </c>
      <c r="H33" s="468">
        <f>SUM(H34+H45)</f>
        <v>87889</v>
      </c>
      <c r="I33" s="468">
        <f>SUM(I34+I45)</f>
        <v>79270</v>
      </c>
      <c r="J33" s="663">
        <f>SUM(J34+J45)</f>
        <v>97970</v>
      </c>
      <c r="K33" s="468">
        <f>SUM(K34+K45)</f>
        <v>98670</v>
      </c>
      <c r="L33" s="468">
        <f>SUM(L34+L45)</f>
        <v>99170</v>
      </c>
    </row>
    <row r="34" spans="1:12" ht="12.75">
      <c r="A34" s="447">
        <f aca="true" t="shared" si="5" ref="A34:A43">A33+1</f>
        <v>31</v>
      </c>
      <c r="B34" s="561"/>
      <c r="C34" s="551"/>
      <c r="D34" s="452" t="s">
        <v>215</v>
      </c>
      <c r="E34" s="479"/>
      <c r="F34" s="480"/>
      <c r="G34" s="481" t="e">
        <f>G35+G46</f>
        <v>#REF!</v>
      </c>
      <c r="H34" s="482">
        <f>H35</f>
        <v>87889</v>
      </c>
      <c r="I34" s="482">
        <f>I35</f>
        <v>79270</v>
      </c>
      <c r="J34" s="660">
        <f>J35</f>
        <v>97970</v>
      </c>
      <c r="K34" s="482">
        <f>K35</f>
        <v>98670</v>
      </c>
      <c r="L34" s="482">
        <f>L35</f>
        <v>99170</v>
      </c>
    </row>
    <row r="35" spans="1:12" ht="12.75">
      <c r="A35" s="447">
        <f t="shared" si="5"/>
        <v>32</v>
      </c>
      <c r="B35" s="483"/>
      <c r="C35" s="562" t="s">
        <v>340</v>
      </c>
      <c r="D35" s="485" t="s">
        <v>341</v>
      </c>
      <c r="E35" s="486"/>
      <c r="F35" s="487"/>
      <c r="G35" s="521">
        <f>SUM(G36:G43)</f>
        <v>2051.2999999999997</v>
      </c>
      <c r="H35" s="489">
        <f>SUM(H36:H43)</f>
        <v>87889</v>
      </c>
      <c r="I35" s="489">
        <f>SUM(I36:I43)+I44</f>
        <v>79270</v>
      </c>
      <c r="J35" s="489">
        <f>SUM(J36:J43)+J44</f>
        <v>97970</v>
      </c>
      <c r="K35" s="489">
        <f>SUM(K36:K43)+K44</f>
        <v>98670</v>
      </c>
      <c r="L35" s="489">
        <f>SUM(L36:L43)+L44</f>
        <v>99170</v>
      </c>
    </row>
    <row r="36" spans="1:12" ht="12.75">
      <c r="A36" s="447">
        <f t="shared" si="5"/>
        <v>33</v>
      </c>
      <c r="B36" s="490"/>
      <c r="C36" s="542" t="s">
        <v>224</v>
      </c>
      <c r="D36" s="536" t="s">
        <v>251</v>
      </c>
      <c r="E36" s="493" t="s">
        <v>327</v>
      </c>
      <c r="F36" s="537"/>
      <c r="G36" s="543">
        <f>ROUND(K36/30.126,1)</f>
        <v>1991.6</v>
      </c>
      <c r="H36" s="496">
        <f>výdavky!D155</f>
        <v>54000</v>
      </c>
      <c r="I36" s="496">
        <f>výdavky!E155</f>
        <v>47000</v>
      </c>
      <c r="J36" s="661">
        <f>výdavky!F155</f>
        <v>60000</v>
      </c>
      <c r="K36" s="496">
        <f>výdavky!G155</f>
        <v>60000</v>
      </c>
      <c r="L36" s="496">
        <f>výdavky!H155</f>
        <v>60000</v>
      </c>
    </row>
    <row r="37" spans="1:12" ht="12.75">
      <c r="A37" s="447">
        <f t="shared" si="5"/>
        <v>34</v>
      </c>
      <c r="B37" s="490"/>
      <c r="C37" s="542" t="s">
        <v>226</v>
      </c>
      <c r="D37" s="541" t="s">
        <v>253</v>
      </c>
      <c r="E37" s="502" t="s">
        <v>227</v>
      </c>
      <c r="F37" s="509"/>
      <c r="G37" s="510"/>
      <c r="H37" s="501">
        <f>výdavky!D156</f>
        <v>19300</v>
      </c>
      <c r="I37" s="501">
        <f>výdavky!E156</f>
        <v>17300</v>
      </c>
      <c r="J37" s="662">
        <f>výdavky!F156</f>
        <v>22000</v>
      </c>
      <c r="K37" s="501">
        <f>výdavky!G156</f>
        <v>22000</v>
      </c>
      <c r="L37" s="501">
        <f>výdavky!H156</f>
        <v>22000</v>
      </c>
    </row>
    <row r="38" spans="1:12" ht="12.75">
      <c r="A38" s="447">
        <f t="shared" si="5"/>
        <v>35</v>
      </c>
      <c r="B38" s="490"/>
      <c r="C38" s="542" t="s">
        <v>230</v>
      </c>
      <c r="D38" s="536" t="s">
        <v>264</v>
      </c>
      <c r="E38" s="493" t="s">
        <v>231</v>
      </c>
      <c r="F38" s="537"/>
      <c r="G38" s="543">
        <f>ROUND(K38/30.126,1)</f>
        <v>59.7</v>
      </c>
      <c r="H38" s="496">
        <f>výdavky!D157</f>
        <v>1500</v>
      </c>
      <c r="I38" s="496">
        <f>výdavky!E157</f>
        <v>1500</v>
      </c>
      <c r="J38" s="661">
        <f>výdavky!F157</f>
        <v>1800</v>
      </c>
      <c r="K38" s="496">
        <f>výdavky!G157</f>
        <v>1800</v>
      </c>
      <c r="L38" s="496">
        <f>výdavky!H157</f>
        <v>1800</v>
      </c>
    </row>
    <row r="39" spans="1:12" ht="12.75">
      <c r="A39" s="447">
        <f t="shared" si="5"/>
        <v>36</v>
      </c>
      <c r="B39" s="490"/>
      <c r="C39" s="542" t="s">
        <v>232</v>
      </c>
      <c r="D39" s="541" t="s">
        <v>266</v>
      </c>
      <c r="E39" s="502" t="s">
        <v>233</v>
      </c>
      <c r="F39" s="509"/>
      <c r="G39" s="510"/>
      <c r="H39" s="501">
        <f>výdavky!D158</f>
        <v>400</v>
      </c>
      <c r="I39" s="501">
        <f>výdavky!E158</f>
        <v>1800</v>
      </c>
      <c r="J39" s="662">
        <f>výdavky!F158</f>
        <v>2300</v>
      </c>
      <c r="K39" s="501">
        <f>výdavky!G158</f>
        <v>2500</v>
      </c>
      <c r="L39" s="501">
        <f>výdavky!H158</f>
        <v>2500</v>
      </c>
    </row>
    <row r="40" spans="1:12" ht="12.75">
      <c r="A40" s="447">
        <f t="shared" si="5"/>
        <v>37</v>
      </c>
      <c r="B40" s="490"/>
      <c r="C40" s="542" t="s">
        <v>234</v>
      </c>
      <c r="D40" s="536" t="s">
        <v>268</v>
      </c>
      <c r="E40" s="493" t="s">
        <v>235</v>
      </c>
      <c r="F40" s="537"/>
      <c r="G40" s="543"/>
      <c r="H40" s="496">
        <f>výdavky!D162</f>
        <v>7800</v>
      </c>
      <c r="I40" s="496">
        <f>výdavky!E162</f>
        <v>7300</v>
      </c>
      <c r="J40" s="661">
        <f>výdavky!F162</f>
        <v>8000</v>
      </c>
      <c r="K40" s="496">
        <f>výdavky!G162</f>
        <v>8500</v>
      </c>
      <c r="L40" s="496">
        <f>výdavky!H162</f>
        <v>9000</v>
      </c>
    </row>
    <row r="41" spans="1:12" ht="12.75">
      <c r="A41" s="447">
        <f t="shared" si="5"/>
        <v>38</v>
      </c>
      <c r="B41" s="490"/>
      <c r="C41" s="542" t="s">
        <v>236</v>
      </c>
      <c r="D41" s="541" t="s">
        <v>272</v>
      </c>
      <c r="E41" s="502" t="s">
        <v>342</v>
      </c>
      <c r="F41" s="509"/>
      <c r="G41" s="510"/>
      <c r="H41" s="501">
        <f>výdavky!D166</f>
        <v>3500</v>
      </c>
      <c r="I41" s="501">
        <f>výdavky!E166</f>
        <v>3500</v>
      </c>
      <c r="J41" s="662">
        <f>výdavky!F166</f>
        <v>3500</v>
      </c>
      <c r="K41" s="501">
        <f>výdavky!G166</f>
        <v>3500</v>
      </c>
      <c r="L41" s="501">
        <f>výdavky!H166</f>
        <v>3500</v>
      </c>
    </row>
    <row r="42" spans="1:12" ht="12.75">
      <c r="A42" s="447">
        <f t="shared" si="5"/>
        <v>39</v>
      </c>
      <c r="B42" s="490"/>
      <c r="C42" s="542" t="s">
        <v>240</v>
      </c>
      <c r="D42" s="536" t="s">
        <v>275</v>
      </c>
      <c r="E42" s="493" t="s">
        <v>306</v>
      </c>
      <c r="F42" s="537"/>
      <c r="G42" s="543"/>
      <c r="H42" s="496">
        <f>výdavky!D167</f>
        <v>270</v>
      </c>
      <c r="I42" s="496">
        <f>výdavky!E167</f>
        <v>270</v>
      </c>
      <c r="J42" s="661">
        <f>výdavky!F167</f>
        <v>270</v>
      </c>
      <c r="K42" s="496">
        <f>výdavky!G167</f>
        <v>270</v>
      </c>
      <c r="L42" s="496">
        <f>výdavky!H167</f>
        <v>270</v>
      </c>
    </row>
    <row r="43" spans="1:12" ht="12.75">
      <c r="A43" s="447">
        <f t="shared" si="5"/>
        <v>40</v>
      </c>
      <c r="B43" s="490"/>
      <c r="C43" s="542" t="s">
        <v>250</v>
      </c>
      <c r="D43" s="541" t="s">
        <v>305</v>
      </c>
      <c r="E43" s="502" t="s">
        <v>343</v>
      </c>
      <c r="F43" s="509"/>
      <c r="G43" s="510"/>
      <c r="H43" s="501">
        <f>výdavky!D168</f>
        <v>1119</v>
      </c>
      <c r="I43" s="501">
        <f>výdavky!E168</f>
        <v>500</v>
      </c>
      <c r="J43" s="662">
        <f>výdavky!F168</f>
        <v>0</v>
      </c>
      <c r="K43" s="501">
        <f>výdavky!G168</f>
        <v>0</v>
      </c>
      <c r="L43" s="501">
        <f>výdavky!H168</f>
        <v>0</v>
      </c>
    </row>
    <row r="44" spans="1:12" ht="12.75">
      <c r="A44" s="447"/>
      <c r="B44" s="490"/>
      <c r="C44" s="542" t="s">
        <v>250</v>
      </c>
      <c r="D44" s="541" t="s">
        <v>307</v>
      </c>
      <c r="E44" s="502" t="s">
        <v>344</v>
      </c>
      <c r="F44" s="509"/>
      <c r="G44" s="510"/>
      <c r="H44" s="501">
        <v>0</v>
      </c>
      <c r="I44" s="501">
        <f>výdavky!E169</f>
        <v>100</v>
      </c>
      <c r="J44" s="662">
        <f>výdavky!F169</f>
        <v>100</v>
      </c>
      <c r="K44" s="501">
        <f>výdavky!G169</f>
        <v>100</v>
      </c>
      <c r="L44" s="501">
        <f>výdavky!H169</f>
        <v>100</v>
      </c>
    </row>
    <row r="45" spans="1:12" ht="12.75">
      <c r="A45" s="447">
        <v>41</v>
      </c>
      <c r="B45" s="490"/>
      <c r="C45" s="491"/>
      <c r="D45" s="451" t="s">
        <v>217</v>
      </c>
      <c r="E45" s="508"/>
      <c r="F45" s="480"/>
      <c r="G45" s="481" t="e">
        <f aca="true" t="shared" si="6" ref="G45:L45">G46</f>
        <v>#REF!</v>
      </c>
      <c r="H45" s="482">
        <f t="shared" si="6"/>
        <v>0</v>
      </c>
      <c r="I45" s="482">
        <f t="shared" si="6"/>
        <v>0</v>
      </c>
      <c r="J45" s="660">
        <f t="shared" si="6"/>
        <v>0</v>
      </c>
      <c r="K45" s="482">
        <f t="shared" si="6"/>
        <v>0</v>
      </c>
      <c r="L45" s="482">
        <f t="shared" si="6"/>
        <v>0</v>
      </c>
    </row>
    <row r="46" spans="1:12" ht="12.75">
      <c r="A46" s="447">
        <f>A45+1</f>
        <v>42</v>
      </c>
      <c r="B46" s="490"/>
      <c r="C46" s="562" t="s">
        <v>345</v>
      </c>
      <c r="D46" s="485" t="s">
        <v>341</v>
      </c>
      <c r="E46" s="486"/>
      <c r="F46" s="487"/>
      <c r="G46" s="521" t="e">
        <f>SUM(#REF!)</f>
        <v>#REF!</v>
      </c>
      <c r="H46" s="489">
        <f>SUM(H47:H47)</f>
        <v>0</v>
      </c>
      <c r="I46" s="489">
        <f>SUM(I47:I47)</f>
        <v>0</v>
      </c>
      <c r="J46" s="489">
        <f>SUM(J47:J47)</f>
        <v>0</v>
      </c>
      <c r="K46" s="489">
        <f>SUM(K47:K47)</f>
        <v>0</v>
      </c>
      <c r="L46" s="489">
        <f>SUM(L47:L47)</f>
        <v>0</v>
      </c>
    </row>
    <row r="47" spans="1:12" s="517" customFormat="1" ht="12.75">
      <c r="A47" s="571">
        <v>43</v>
      </c>
      <c r="B47" s="685"/>
      <c r="C47" s="686" t="s">
        <v>332</v>
      </c>
      <c r="D47" s="616" t="s">
        <v>307</v>
      </c>
      <c r="E47" s="687"/>
      <c r="F47" s="688"/>
      <c r="G47" s="689"/>
      <c r="H47" s="621">
        <v>0</v>
      </c>
      <c r="I47" s="621">
        <v>0</v>
      </c>
      <c r="J47" s="690">
        <v>0</v>
      </c>
      <c r="K47" s="621">
        <v>0</v>
      </c>
      <c r="L47" s="621">
        <v>0</v>
      </c>
    </row>
  </sheetData>
  <mergeCells count="3">
    <mergeCell ref="G3:L3"/>
    <mergeCell ref="D4:F6"/>
    <mergeCell ref="D24:E24"/>
  </mergeCells>
  <printOptions/>
  <pageMargins left="0.7875" right="0.19652777777777777" top="0.39375" bottom="0.39375" header="0.5118055555555556" footer="0.5118055555555556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7">
      <selection activeCell="I26" sqref="I26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customWidth="1"/>
    <col min="11" max="12" width="8.421875" style="0" customWidth="1"/>
  </cols>
  <sheetData>
    <row r="1" spans="2:12" ht="15.75">
      <c r="B1" s="415" t="s">
        <v>346</v>
      </c>
      <c r="E1" s="415" t="s">
        <v>347</v>
      </c>
      <c r="F1" s="413"/>
      <c r="G1" s="579" t="e">
        <f>G2-G7</f>
        <v>#REF!</v>
      </c>
      <c r="H1" s="579"/>
      <c r="I1" s="579"/>
      <c r="J1" s="580">
        <f>J2-J7</f>
        <v>0</v>
      </c>
      <c r="K1" s="580">
        <f>K2-K7</f>
        <v>0</v>
      </c>
      <c r="L1" s="580">
        <f>L2-L7</f>
        <v>0</v>
      </c>
    </row>
    <row r="2" spans="2:12" ht="15.75">
      <c r="B2" s="415"/>
      <c r="G2" s="581" t="e">
        <f>SUM(G8:G10)</f>
        <v>#REF!</v>
      </c>
      <c r="H2" s="581"/>
      <c r="I2" s="581"/>
      <c r="J2" s="423">
        <f>SUM(J8:J10)</f>
        <v>563800</v>
      </c>
      <c r="K2" s="423">
        <f>SUM(K8:K10)</f>
        <v>91300</v>
      </c>
      <c r="L2" s="423">
        <f>SUM(L8:L10)</f>
        <v>91300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1.25" customHeight="1">
      <c r="A4" s="429"/>
      <c r="B4" s="430" t="s">
        <v>203</v>
      </c>
      <c r="C4" s="431" t="s">
        <v>204</v>
      </c>
      <c r="D4" s="1475" t="s">
        <v>205</v>
      </c>
      <c r="E4" s="1475"/>
      <c r="F4" s="1475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5" customHeight="1">
      <c r="A5" s="429"/>
      <c r="B5" s="430" t="s">
        <v>206</v>
      </c>
      <c r="C5" s="431" t="s">
        <v>207</v>
      </c>
      <c r="D5" s="1475"/>
      <c r="E5" s="1475"/>
      <c r="F5" s="1475"/>
      <c r="G5" s="434" t="s">
        <v>208</v>
      </c>
      <c r="H5" s="435" t="s">
        <v>210</v>
      </c>
      <c r="I5" s="435" t="s">
        <v>210</v>
      </c>
      <c r="J5" s="435" t="s">
        <v>209</v>
      </c>
      <c r="K5" s="435" t="s">
        <v>210</v>
      </c>
      <c r="L5" s="435" t="s">
        <v>210</v>
      </c>
    </row>
    <row r="6" spans="1:12" ht="12.75">
      <c r="A6" s="429"/>
      <c r="B6" s="584" t="s">
        <v>211</v>
      </c>
      <c r="C6" s="585" t="s">
        <v>212</v>
      </c>
      <c r="D6" s="1475"/>
      <c r="E6" s="1475"/>
      <c r="F6" s="1475"/>
      <c r="G6" s="586">
        <v>1</v>
      </c>
      <c r="H6" s="587">
        <v>-2</v>
      </c>
      <c r="I6" s="587">
        <v>-1</v>
      </c>
      <c r="J6" s="587">
        <v>1</v>
      </c>
      <c r="K6" s="587">
        <v>2</v>
      </c>
      <c r="L6" s="587">
        <v>3</v>
      </c>
    </row>
    <row r="7" spans="1:12" ht="15">
      <c r="A7" s="440">
        <v>1</v>
      </c>
      <c r="B7" s="691" t="s">
        <v>346</v>
      </c>
      <c r="C7" s="589"/>
      <c r="D7" s="590"/>
      <c r="E7" s="591" t="s">
        <v>347</v>
      </c>
      <c r="F7" s="592"/>
      <c r="G7" s="593" t="e">
        <f>G11+G23</f>
        <v>#REF!</v>
      </c>
      <c r="H7" s="446">
        <f>SUM(H8,H9,H10)</f>
        <v>97000</v>
      </c>
      <c r="I7" s="446">
        <f>SUM(I8,I9,I10)</f>
        <v>102238</v>
      </c>
      <c r="J7" s="594">
        <f>SUM(J8,J9,J10)</f>
        <v>563800</v>
      </c>
      <c r="K7" s="446">
        <f>SUM(K8,K9,K10)</f>
        <v>91300</v>
      </c>
      <c r="L7" s="446">
        <f>SUM(L8,L9,L10)</f>
        <v>91300</v>
      </c>
    </row>
    <row r="8" spans="1:12" ht="12.75">
      <c r="A8" s="447">
        <f aca="true" t="shared" si="0" ref="A8:A17">A7+1</f>
        <v>2</v>
      </c>
      <c r="B8" s="448" t="s">
        <v>214</v>
      </c>
      <c r="C8" s="449" t="s">
        <v>215</v>
      </c>
      <c r="D8" s="450"/>
      <c r="E8" s="451"/>
      <c r="F8" s="452"/>
      <c r="G8" s="596" t="e">
        <f>G12+G24</f>
        <v>#REF!</v>
      </c>
      <c r="H8" s="598">
        <f>SUM(H12+H24)</f>
        <v>97000</v>
      </c>
      <c r="I8" s="598">
        <f>SUM(I12+I24+I39)</f>
        <v>84938</v>
      </c>
      <c r="J8" s="597">
        <f>SUM(J12+J24)</f>
        <v>96300</v>
      </c>
      <c r="K8" s="598">
        <f>SUM(K12+K24)</f>
        <v>91300</v>
      </c>
      <c r="L8" s="598">
        <f>SUM(L12+L24)</f>
        <v>91300</v>
      </c>
    </row>
    <row r="9" spans="1:12" ht="12.75">
      <c r="A9" s="447">
        <f t="shared" si="0"/>
        <v>3</v>
      </c>
      <c r="B9" s="448" t="s">
        <v>216</v>
      </c>
      <c r="C9" s="449" t="s">
        <v>217</v>
      </c>
      <c r="D9" s="450"/>
      <c r="E9" s="451"/>
      <c r="F9" s="452"/>
      <c r="G9" s="596" t="e">
        <f>#REF!</f>
        <v>#REF!</v>
      </c>
      <c r="H9" s="598">
        <f>H19</f>
        <v>0</v>
      </c>
      <c r="I9" s="598">
        <f>I19</f>
        <v>17300</v>
      </c>
      <c r="J9" s="598">
        <f>J19</f>
        <v>467500</v>
      </c>
      <c r="K9" s="598">
        <f>K19</f>
        <v>0</v>
      </c>
      <c r="L9" s="598">
        <f>L19</f>
        <v>0</v>
      </c>
    </row>
    <row r="10" spans="1:12" ht="12.75">
      <c r="A10" s="447">
        <f t="shared" si="0"/>
        <v>4</v>
      </c>
      <c r="B10" s="455"/>
      <c r="C10" s="456" t="s">
        <v>218</v>
      </c>
      <c r="D10" s="457"/>
      <c r="E10" s="458"/>
      <c r="F10" s="459"/>
      <c r="G10" s="601">
        <v>0</v>
      </c>
      <c r="H10" s="598">
        <v>0</v>
      </c>
      <c r="I10" s="598">
        <v>0</v>
      </c>
      <c r="J10" s="597">
        <v>0</v>
      </c>
      <c r="K10" s="598">
        <v>0</v>
      </c>
      <c r="L10" s="598">
        <v>0</v>
      </c>
    </row>
    <row r="11" spans="1:12" ht="12.75">
      <c r="A11" s="447">
        <f t="shared" si="0"/>
        <v>5</v>
      </c>
      <c r="B11" s="462">
        <v>1</v>
      </c>
      <c r="C11" s="564" t="s">
        <v>348</v>
      </c>
      <c r="D11" s="464"/>
      <c r="E11" s="464"/>
      <c r="F11" s="465"/>
      <c r="G11" s="466" t="e">
        <f>SUM(G13)+#REF!</f>
        <v>#REF!</v>
      </c>
      <c r="H11" s="467">
        <f aca="true" t="shared" si="1" ref="H11:L12">H12</f>
        <v>72000</v>
      </c>
      <c r="I11" s="467">
        <f t="shared" si="1"/>
        <v>60000</v>
      </c>
      <c r="J11" s="467">
        <f t="shared" si="1"/>
        <v>70000</v>
      </c>
      <c r="K11" s="467">
        <f t="shared" si="1"/>
        <v>65000</v>
      </c>
      <c r="L11" s="692">
        <f t="shared" si="1"/>
        <v>65000</v>
      </c>
    </row>
    <row r="12" spans="1:12" s="517" customFormat="1" ht="12.75">
      <c r="A12" s="447">
        <f t="shared" si="0"/>
        <v>6</v>
      </c>
      <c r="B12" s="477"/>
      <c r="C12" s="478"/>
      <c r="D12" s="452" t="s">
        <v>215</v>
      </c>
      <c r="E12" s="479"/>
      <c r="F12" s="480"/>
      <c r="G12" s="481" t="e">
        <f>G13</f>
        <v>#REF!</v>
      </c>
      <c r="H12" s="482">
        <f t="shared" si="1"/>
        <v>72000</v>
      </c>
      <c r="I12" s="482">
        <f t="shared" si="1"/>
        <v>60000</v>
      </c>
      <c r="J12" s="482">
        <f t="shared" si="1"/>
        <v>70000</v>
      </c>
      <c r="K12" s="482">
        <f t="shared" si="1"/>
        <v>65000</v>
      </c>
      <c r="L12" s="660">
        <f t="shared" si="1"/>
        <v>65000</v>
      </c>
    </row>
    <row r="13" spans="1:12" ht="12.75">
      <c r="A13" s="447">
        <f t="shared" si="0"/>
        <v>7</v>
      </c>
      <c r="B13" s="511"/>
      <c r="C13" s="609" t="s">
        <v>349</v>
      </c>
      <c r="D13" s="519" t="s">
        <v>350</v>
      </c>
      <c r="E13" s="610"/>
      <c r="F13" s="611"/>
      <c r="G13" s="521" t="e">
        <f>SUM(#REF!)</f>
        <v>#REF!</v>
      </c>
      <c r="H13" s="489">
        <f>SUM(H14,H15,H16,H17)</f>
        <v>72000</v>
      </c>
      <c r="I13" s="489">
        <f>SUM(I14,I15,I16,I17)</f>
        <v>60000</v>
      </c>
      <c r="J13" s="489">
        <f>SUM(J14,J15,J16,J17,J18)</f>
        <v>70000</v>
      </c>
      <c r="K13" s="489">
        <f>SUM(K14,K15,K16,K17)</f>
        <v>65000</v>
      </c>
      <c r="L13" s="693">
        <f>SUM(L14,L15,L16,L17)</f>
        <v>65000</v>
      </c>
    </row>
    <row r="14" spans="1:12" ht="12.75">
      <c r="A14" s="447">
        <f t="shared" si="0"/>
        <v>8</v>
      </c>
      <c r="B14" s="511"/>
      <c r="C14" s="540" t="s">
        <v>232</v>
      </c>
      <c r="D14" s="541" t="s">
        <v>251</v>
      </c>
      <c r="E14" s="498" t="s">
        <v>233</v>
      </c>
      <c r="F14" s="529"/>
      <c r="G14" s="530"/>
      <c r="H14" s="501">
        <v>0</v>
      </c>
      <c r="I14" s="501">
        <v>0</v>
      </c>
      <c r="J14" s="501">
        <f>výdavky!F198</f>
        <v>0</v>
      </c>
      <c r="K14" s="501">
        <f>výdavky!G198</f>
        <v>0</v>
      </c>
      <c r="L14" s="662">
        <f>výdavky!H198</f>
        <v>0</v>
      </c>
    </row>
    <row r="15" spans="1:12" ht="12.75">
      <c r="A15" s="447">
        <f t="shared" si="0"/>
        <v>9</v>
      </c>
      <c r="B15" s="511"/>
      <c r="C15" s="540" t="s">
        <v>234</v>
      </c>
      <c r="D15" s="541" t="s">
        <v>253</v>
      </c>
      <c r="E15" s="498" t="s">
        <v>235</v>
      </c>
      <c r="F15" s="529"/>
      <c r="G15" s="530"/>
      <c r="H15" s="501">
        <v>0</v>
      </c>
      <c r="I15" s="501">
        <v>0</v>
      </c>
      <c r="J15" s="501">
        <f>výdavky!F199</f>
        <v>0</v>
      </c>
      <c r="K15" s="501">
        <f>výdavky!G199</f>
        <v>0</v>
      </c>
      <c r="L15" s="662">
        <f>výdavky!H199</f>
        <v>0</v>
      </c>
    </row>
    <row r="16" spans="1:12" ht="12.75">
      <c r="A16" s="447">
        <f t="shared" si="0"/>
        <v>10</v>
      </c>
      <c r="B16" s="511"/>
      <c r="C16" s="540" t="s">
        <v>236</v>
      </c>
      <c r="D16" s="541" t="s">
        <v>264</v>
      </c>
      <c r="E16" s="498" t="s">
        <v>319</v>
      </c>
      <c r="F16" s="529"/>
      <c r="G16" s="530"/>
      <c r="H16" s="501">
        <v>0</v>
      </c>
      <c r="I16" s="501">
        <v>0</v>
      </c>
      <c r="J16" s="501">
        <f>výdavky!F202</f>
        <v>0</v>
      </c>
      <c r="K16" s="501">
        <f>výdavky!G202</f>
        <v>0</v>
      </c>
      <c r="L16" s="662">
        <f>výdavky!H202</f>
        <v>0</v>
      </c>
    </row>
    <row r="17" spans="1:12" ht="12.75">
      <c r="A17" s="447">
        <f t="shared" si="0"/>
        <v>11</v>
      </c>
      <c r="B17" s="511"/>
      <c r="C17" s="540" t="s">
        <v>240</v>
      </c>
      <c r="D17" s="541" t="s">
        <v>266</v>
      </c>
      <c r="E17" s="498" t="s">
        <v>351</v>
      </c>
      <c r="F17" s="529"/>
      <c r="G17" s="530"/>
      <c r="H17" s="501">
        <f>výdavky!D204</f>
        <v>72000</v>
      </c>
      <c r="I17" s="501">
        <f>výdavky!E204</f>
        <v>60000</v>
      </c>
      <c r="J17" s="501">
        <f>výdavky!F204</f>
        <v>65000</v>
      </c>
      <c r="K17" s="501">
        <f>výdavky!G204</f>
        <v>65000</v>
      </c>
      <c r="L17" s="662">
        <f>výdavky!H204</f>
        <v>65000</v>
      </c>
    </row>
    <row r="18" spans="1:12" ht="12.75">
      <c r="A18" s="447"/>
      <c r="B18" s="511"/>
      <c r="C18" s="540" t="s">
        <v>240</v>
      </c>
      <c r="D18" s="541" t="s">
        <v>268</v>
      </c>
      <c r="E18" s="498" t="s">
        <v>352</v>
      </c>
      <c r="F18" s="529"/>
      <c r="G18" s="530"/>
      <c r="H18" s="501"/>
      <c r="I18" s="501"/>
      <c r="J18" s="501">
        <f>výdavky!F205</f>
        <v>5000</v>
      </c>
      <c r="K18" s="501"/>
      <c r="L18" s="662"/>
    </row>
    <row r="19" spans="1:12" ht="12.75">
      <c r="A19" s="447">
        <v>12</v>
      </c>
      <c r="B19" s="483"/>
      <c r="C19" s="491"/>
      <c r="D19" s="451" t="s">
        <v>217</v>
      </c>
      <c r="E19" s="508"/>
      <c r="F19" s="480"/>
      <c r="G19" s="481">
        <f>G21</f>
        <v>0</v>
      </c>
      <c r="H19" s="482">
        <f>H20</f>
        <v>0</v>
      </c>
      <c r="I19" s="482">
        <f>I20</f>
        <v>17300</v>
      </c>
      <c r="J19" s="482">
        <f>J20</f>
        <v>467500</v>
      </c>
      <c r="K19" s="482">
        <f>K20</f>
        <v>0</v>
      </c>
      <c r="L19" s="660">
        <f>L20</f>
        <v>0</v>
      </c>
    </row>
    <row r="20" spans="1:12" ht="12.75">
      <c r="A20" s="447">
        <f aca="true" t="shared" si="2" ref="A20:A25">A19+1</f>
        <v>13</v>
      </c>
      <c r="B20" s="483"/>
      <c r="C20" s="484" t="s">
        <v>353</v>
      </c>
      <c r="D20" s="485" t="s">
        <v>350</v>
      </c>
      <c r="E20" s="486"/>
      <c r="F20" s="487"/>
      <c r="G20" s="488">
        <f>SUM(G21:G25)</f>
        <v>234.29999999999998</v>
      </c>
      <c r="H20" s="489">
        <f>H21+SUM(H21,H22)</f>
        <v>0</v>
      </c>
      <c r="I20" s="489">
        <f>I21+SUM(I21,I22)</f>
        <v>17300</v>
      </c>
      <c r="J20" s="489">
        <f>SUM(J21,J22)</f>
        <v>467500</v>
      </c>
      <c r="K20" s="489">
        <f>K21+SUM(K21,K22)</f>
        <v>0</v>
      </c>
      <c r="L20" s="693">
        <f>L21+SUM(L21,L22)</f>
        <v>0</v>
      </c>
    </row>
    <row r="21" spans="1:12" ht="12.75">
      <c r="A21" s="447">
        <f t="shared" si="2"/>
        <v>14</v>
      </c>
      <c r="B21" s="511"/>
      <c r="C21" s="540" t="s">
        <v>332</v>
      </c>
      <c r="D21" s="541" t="s">
        <v>268</v>
      </c>
      <c r="E21" s="637" t="s">
        <v>354</v>
      </c>
      <c r="F21" s="509"/>
      <c r="G21" s="510"/>
      <c r="H21" s="501">
        <v>0</v>
      </c>
      <c r="I21" s="501">
        <f>výdavky!E410</f>
        <v>8650</v>
      </c>
      <c r="J21" s="501">
        <f>výdavky!F410</f>
        <v>467500</v>
      </c>
      <c r="K21" s="501">
        <v>0</v>
      </c>
      <c r="L21" s="662">
        <v>0</v>
      </c>
    </row>
    <row r="22" spans="1:12" ht="12.75">
      <c r="A22" s="447">
        <f t="shared" si="2"/>
        <v>15</v>
      </c>
      <c r="B22" s="511"/>
      <c r="C22" s="540" t="s">
        <v>332</v>
      </c>
      <c r="D22" s="541" t="s">
        <v>272</v>
      </c>
      <c r="E22" s="637"/>
      <c r="F22" s="509"/>
      <c r="G22" s="510"/>
      <c r="H22" s="501">
        <v>0</v>
      </c>
      <c r="I22" s="501">
        <v>0</v>
      </c>
      <c r="J22" s="501">
        <v>0</v>
      </c>
      <c r="K22" s="501">
        <v>0</v>
      </c>
      <c r="L22" s="662">
        <v>0</v>
      </c>
    </row>
    <row r="23" spans="1:12" ht="12.75">
      <c r="A23" s="447">
        <f t="shared" si="2"/>
        <v>16</v>
      </c>
      <c r="B23" s="462">
        <v>2</v>
      </c>
      <c r="C23" s="694" t="s">
        <v>355</v>
      </c>
      <c r="D23" s="464"/>
      <c r="E23" s="464"/>
      <c r="F23" s="465"/>
      <c r="G23" s="466">
        <f>SUM(G25)</f>
        <v>78.1</v>
      </c>
      <c r="H23" s="468">
        <f aca="true" t="shared" si="3" ref="H23:L24">H24</f>
        <v>25000</v>
      </c>
      <c r="I23" s="468">
        <f t="shared" si="3"/>
        <v>24550</v>
      </c>
      <c r="J23" s="468">
        <f t="shared" si="3"/>
        <v>26300</v>
      </c>
      <c r="K23" s="468">
        <f t="shared" si="3"/>
        <v>26300</v>
      </c>
      <c r="L23" s="663">
        <f t="shared" si="3"/>
        <v>26300</v>
      </c>
    </row>
    <row r="24" spans="1:12" s="517" customFormat="1" ht="12.75">
      <c r="A24" s="447">
        <f t="shared" si="2"/>
        <v>17</v>
      </c>
      <c r="B24" s="477"/>
      <c r="C24" s="695"/>
      <c r="D24" s="452" t="s">
        <v>215</v>
      </c>
      <c r="E24" s="479"/>
      <c r="F24" s="480"/>
      <c r="G24" s="481">
        <f>G25</f>
        <v>78.1</v>
      </c>
      <c r="H24" s="482">
        <f t="shared" si="3"/>
        <v>25000</v>
      </c>
      <c r="I24" s="482">
        <f t="shared" si="3"/>
        <v>24550</v>
      </c>
      <c r="J24" s="482">
        <f t="shared" si="3"/>
        <v>26300</v>
      </c>
      <c r="K24" s="482">
        <f t="shared" si="3"/>
        <v>26300</v>
      </c>
      <c r="L24" s="660">
        <f t="shared" si="3"/>
        <v>26300</v>
      </c>
    </row>
    <row r="25" spans="1:12" ht="12.75">
      <c r="A25" s="447">
        <f t="shared" si="2"/>
        <v>18</v>
      </c>
      <c r="B25" s="511"/>
      <c r="C25" s="696" t="s">
        <v>356</v>
      </c>
      <c r="D25" s="519" t="s">
        <v>355</v>
      </c>
      <c r="E25" s="610"/>
      <c r="F25" s="611"/>
      <c r="G25" s="521">
        <f>G37</f>
        <v>78.1</v>
      </c>
      <c r="H25" s="489">
        <f>H37+SUM(H26,H27,H28,H29,H30,H31)</f>
        <v>25000</v>
      </c>
      <c r="I25" s="489">
        <f>SUM(I26,I27,I28,I29,I30,I31,I32)</f>
        <v>24550</v>
      </c>
      <c r="J25" s="489">
        <f>J37+SUM(J26,J27,J28,J29,J30,J31)</f>
        <v>26300</v>
      </c>
      <c r="K25" s="489">
        <f>K37+SUM(K26,K27,K28,K29,K30,K31)</f>
        <v>26300</v>
      </c>
      <c r="L25" s="693">
        <f>L37+SUM(L26,L27,L28,L29,L30,L31)</f>
        <v>26300</v>
      </c>
    </row>
    <row r="26" spans="1:12" ht="12.75">
      <c r="A26" s="447">
        <v>19</v>
      </c>
      <c r="B26" s="511"/>
      <c r="C26" s="540" t="s">
        <v>224</v>
      </c>
      <c r="D26" s="527">
        <v>1</v>
      </c>
      <c r="E26" s="528" t="s">
        <v>225</v>
      </c>
      <c r="F26" s="529"/>
      <c r="G26" s="530"/>
      <c r="H26" s="501">
        <f>výdavky!D208</f>
        <v>5000</v>
      </c>
      <c r="I26" s="501">
        <f>výdavky!E208</f>
        <v>5000</v>
      </c>
      <c r="J26" s="501">
        <f>výdavky!F208</f>
        <v>5500</v>
      </c>
      <c r="K26" s="501">
        <f>výdavky!G208</f>
        <v>5500</v>
      </c>
      <c r="L26" s="662">
        <f>výdavky!H208</f>
        <v>5500</v>
      </c>
    </row>
    <row r="27" spans="1:12" ht="12.75">
      <c r="A27" s="447">
        <v>20</v>
      </c>
      <c r="B27" s="511"/>
      <c r="C27" s="540" t="s">
        <v>226</v>
      </c>
      <c r="D27" s="527">
        <v>2</v>
      </c>
      <c r="E27" s="528" t="s">
        <v>227</v>
      </c>
      <c r="F27" s="529"/>
      <c r="G27" s="530"/>
      <c r="H27" s="501">
        <f>výdavky!D209</f>
        <v>1500</v>
      </c>
      <c r="I27" s="501">
        <f>výdavky!E209</f>
        <v>1800</v>
      </c>
      <c r="J27" s="501">
        <f>výdavky!F209</f>
        <v>1800</v>
      </c>
      <c r="K27" s="501">
        <f>výdavky!G209</f>
        <v>1800</v>
      </c>
      <c r="L27" s="662">
        <f>výdavky!H209</f>
        <v>1800</v>
      </c>
    </row>
    <row r="28" spans="1:12" ht="12.75">
      <c r="A28" s="447">
        <v>21</v>
      </c>
      <c r="B28" s="511"/>
      <c r="C28" s="540" t="s">
        <v>230</v>
      </c>
      <c r="D28" s="527">
        <v>3</v>
      </c>
      <c r="E28" s="528" t="s">
        <v>231</v>
      </c>
      <c r="F28" s="529"/>
      <c r="G28" s="530"/>
      <c r="H28" s="501">
        <f>výdavky!D210</f>
        <v>5500</v>
      </c>
      <c r="I28" s="501">
        <f>výdavky!E210</f>
        <v>5000</v>
      </c>
      <c r="J28" s="501">
        <f>výdavky!F210</f>
        <v>6000</v>
      </c>
      <c r="K28" s="501">
        <f>výdavky!G210</f>
        <v>6000</v>
      </c>
      <c r="L28" s="662">
        <f>výdavky!H210</f>
        <v>6000</v>
      </c>
    </row>
    <row r="29" spans="1:12" ht="12.75">
      <c r="A29" s="447">
        <v>22</v>
      </c>
      <c r="B29" s="511"/>
      <c r="C29" s="540" t="s">
        <v>232</v>
      </c>
      <c r="D29" s="527">
        <v>4</v>
      </c>
      <c r="E29" s="528" t="s">
        <v>233</v>
      </c>
      <c r="F29" s="529"/>
      <c r="G29" s="530"/>
      <c r="H29" s="501">
        <f>výdavky!D211</f>
        <v>0</v>
      </c>
      <c r="I29" s="501">
        <f>výdavky!E211</f>
        <v>150</v>
      </c>
      <c r="J29" s="501">
        <f>výdavky!F211</f>
        <v>0</v>
      </c>
      <c r="K29" s="501">
        <f>výdavky!G211</f>
        <v>0</v>
      </c>
      <c r="L29" s="662">
        <f>výdavky!H211</f>
        <v>0</v>
      </c>
    </row>
    <row r="30" spans="1:12" ht="12.75">
      <c r="A30" s="447">
        <v>23</v>
      </c>
      <c r="B30" s="511"/>
      <c r="C30" s="540" t="s">
        <v>234</v>
      </c>
      <c r="D30" s="527">
        <v>5</v>
      </c>
      <c r="E30" s="528" t="s">
        <v>235</v>
      </c>
      <c r="F30" s="529"/>
      <c r="G30" s="530"/>
      <c r="H30" s="501">
        <f>výdavky!D212</f>
        <v>9500</v>
      </c>
      <c r="I30" s="501">
        <f>výdavky!E212</f>
        <v>9000</v>
      </c>
      <c r="J30" s="501">
        <f>výdavky!F212</f>
        <v>9500</v>
      </c>
      <c r="K30" s="501">
        <f>výdavky!G212</f>
        <v>9500</v>
      </c>
      <c r="L30" s="662">
        <f>výdavky!H212</f>
        <v>9500</v>
      </c>
    </row>
    <row r="31" spans="1:12" ht="12.75">
      <c r="A31" s="447">
        <v>24</v>
      </c>
      <c r="B31" s="511"/>
      <c r="C31" s="540" t="s">
        <v>240</v>
      </c>
      <c r="D31" s="527">
        <v>6</v>
      </c>
      <c r="E31" s="528" t="s">
        <v>357</v>
      </c>
      <c r="F31" s="529"/>
      <c r="G31" s="530"/>
      <c r="H31" s="501">
        <f>výdavky!D215</f>
        <v>3500</v>
      </c>
      <c r="I31" s="501">
        <f>výdavky!E215</f>
        <v>3500</v>
      </c>
      <c r="J31" s="501">
        <f>výdavky!F215</f>
        <v>3500</v>
      </c>
      <c r="K31" s="501">
        <f>výdavky!G215</f>
        <v>3500</v>
      </c>
      <c r="L31" s="662">
        <f>výdavky!H215</f>
        <v>3500</v>
      </c>
    </row>
    <row r="32" spans="1:12" ht="12.75">
      <c r="A32" s="447"/>
      <c r="B32" s="511"/>
      <c r="C32" s="540" t="s">
        <v>240</v>
      </c>
      <c r="D32" s="527">
        <v>7</v>
      </c>
      <c r="E32" s="528" t="s">
        <v>358</v>
      </c>
      <c r="F32" s="529"/>
      <c r="G32" s="530"/>
      <c r="H32" s="501"/>
      <c r="I32" s="501">
        <v>100</v>
      </c>
      <c r="J32" s="501"/>
      <c r="K32" s="501"/>
      <c r="L32" s="662"/>
    </row>
    <row r="33" spans="1:12" ht="12.75">
      <c r="A33" s="447">
        <v>25</v>
      </c>
      <c r="B33" s="511"/>
      <c r="C33" s="540"/>
      <c r="D33" s="1443" t="s">
        <v>217</v>
      </c>
      <c r="E33" s="1443"/>
      <c r="F33" s="667"/>
      <c r="G33" s="697"/>
      <c r="H33" s="669">
        <f>SUM(H34)</f>
        <v>0</v>
      </c>
      <c r="I33" s="669">
        <f>SUM(I34)</f>
        <v>0</v>
      </c>
      <c r="J33" s="669">
        <f>SUM(J34)</f>
        <v>0</v>
      </c>
      <c r="K33" s="669">
        <f>SUM(K34)</f>
        <v>0</v>
      </c>
      <c r="L33" s="698">
        <f>SUM(L34)</f>
        <v>0</v>
      </c>
    </row>
    <row r="34" spans="1:12" ht="12.75">
      <c r="A34" s="447">
        <v>26</v>
      </c>
      <c r="B34" s="511"/>
      <c r="C34" s="696" t="s">
        <v>356</v>
      </c>
      <c r="D34" s="1476" t="s">
        <v>355</v>
      </c>
      <c r="E34" s="1476"/>
      <c r="F34" s="611"/>
      <c r="G34" s="521"/>
      <c r="H34" s="699">
        <f>SUM(H35,H36,H37)</f>
        <v>0</v>
      </c>
      <c r="I34" s="699">
        <f>SUM(I35,I36,I37)</f>
        <v>0</v>
      </c>
      <c r="J34" s="699">
        <f>SUM(J35,J36,J37)</f>
        <v>0</v>
      </c>
      <c r="K34" s="699">
        <f>SUM(K35,K36,K37)</f>
        <v>0</v>
      </c>
      <c r="L34" s="700">
        <f>SUM(L35,L36,L37)</f>
        <v>0</v>
      </c>
    </row>
    <row r="35" spans="1:12" ht="12.75">
      <c r="A35" s="447">
        <v>27</v>
      </c>
      <c r="B35" s="511"/>
      <c r="C35" s="540" t="s">
        <v>332</v>
      </c>
      <c r="D35" s="527">
        <v>7</v>
      </c>
      <c r="E35" s="528" t="s">
        <v>359</v>
      </c>
      <c r="F35" s="499"/>
      <c r="G35" s="701"/>
      <c r="H35" s="501">
        <v>0</v>
      </c>
      <c r="I35" s="501">
        <v>0</v>
      </c>
      <c r="J35" s="501">
        <f>výdavky!F405</f>
        <v>0</v>
      </c>
      <c r="K35" s="501">
        <f>výdavky!G405</f>
        <v>0</v>
      </c>
      <c r="L35" s="662">
        <f>výdavky!H405</f>
        <v>0</v>
      </c>
    </row>
    <row r="36" spans="1:12" ht="12.75">
      <c r="A36" s="447">
        <v>28</v>
      </c>
      <c r="B36" s="511"/>
      <c r="C36" s="540"/>
      <c r="D36" s="702"/>
      <c r="E36" s="703"/>
      <c r="F36" s="704"/>
      <c r="G36" s="705"/>
      <c r="H36" s="507"/>
      <c r="I36" s="507"/>
      <c r="J36" s="507"/>
      <c r="K36" s="507"/>
      <c r="L36" s="706"/>
    </row>
    <row r="37" spans="1:12" s="517" customFormat="1" ht="12.75">
      <c r="A37" s="447">
        <v>29</v>
      </c>
      <c r="B37" s="516"/>
      <c r="C37" s="540"/>
      <c r="D37" s="527"/>
      <c r="E37" s="528"/>
      <c r="F37" s="529"/>
      <c r="G37" s="510">
        <v>78.1</v>
      </c>
      <c r="H37" s="501"/>
      <c r="I37" s="501"/>
      <c r="J37" s="501"/>
      <c r="K37" s="501"/>
      <c r="L37" s="662"/>
    </row>
    <row r="38" spans="1:12" ht="12.75">
      <c r="A38" s="447">
        <v>30</v>
      </c>
      <c r="B38" s="559">
        <v>3</v>
      </c>
      <c r="C38" s="694" t="s">
        <v>360</v>
      </c>
      <c r="D38" s="464"/>
      <c r="E38" s="464"/>
      <c r="F38" s="464"/>
      <c r="G38" s="707"/>
      <c r="H38" s="708">
        <f>H39</f>
        <v>0</v>
      </c>
      <c r="I38" s="708">
        <f>I39</f>
        <v>388</v>
      </c>
      <c r="J38" s="708">
        <f>J39</f>
        <v>0</v>
      </c>
      <c r="K38" s="708">
        <f>K39</f>
        <v>0</v>
      </c>
      <c r="L38" s="709">
        <f>L39</f>
        <v>0</v>
      </c>
    </row>
    <row r="39" spans="1:12" ht="12.75">
      <c r="A39" s="447">
        <v>31</v>
      </c>
      <c r="B39" s="710"/>
      <c r="C39" s="711"/>
      <c r="D39" s="452" t="s">
        <v>215</v>
      </c>
      <c r="E39" s="479"/>
      <c r="F39" s="479"/>
      <c r="G39" s="412"/>
      <c r="H39" s="712">
        <f>H41+H42</f>
        <v>0</v>
      </c>
      <c r="I39" s="712">
        <f>I41+I42</f>
        <v>388</v>
      </c>
      <c r="J39" s="712">
        <f>J41+J42</f>
        <v>0</v>
      </c>
      <c r="K39" s="712">
        <f>K41+K42</f>
        <v>0</v>
      </c>
      <c r="L39" s="452">
        <f>L41+L42</f>
        <v>0</v>
      </c>
    </row>
    <row r="40" spans="1:12" ht="12.75">
      <c r="A40" s="447">
        <v>32</v>
      </c>
      <c r="B40" s="710"/>
      <c r="C40" s="713" t="s">
        <v>361</v>
      </c>
      <c r="D40" s="1476" t="s">
        <v>360</v>
      </c>
      <c r="E40" s="1476"/>
      <c r="F40" s="610"/>
      <c r="G40" s="714"/>
      <c r="H40" s="715">
        <f>H41+H42</f>
        <v>0</v>
      </c>
      <c r="I40" s="715">
        <f>I41+I42</f>
        <v>388</v>
      </c>
      <c r="J40" s="715">
        <f>J41+J42</f>
        <v>0</v>
      </c>
      <c r="K40" s="715">
        <f>K41+K42</f>
        <v>0</v>
      </c>
      <c r="L40" s="611">
        <f>L41+L42</f>
        <v>0</v>
      </c>
    </row>
    <row r="41" spans="1:12" ht="12.75">
      <c r="A41" s="447">
        <v>33</v>
      </c>
      <c r="B41" s="710"/>
      <c r="C41" s="716">
        <v>633</v>
      </c>
      <c r="D41" s="717">
        <v>1</v>
      </c>
      <c r="E41" s="549" t="s">
        <v>362</v>
      </c>
      <c r="F41" s="549"/>
      <c r="G41" s="549"/>
      <c r="H41" s="550">
        <v>0</v>
      </c>
      <c r="I41" s="550">
        <v>388</v>
      </c>
      <c r="J41" s="550">
        <v>0</v>
      </c>
      <c r="K41" s="550">
        <v>0</v>
      </c>
      <c r="L41" s="718">
        <v>0</v>
      </c>
    </row>
    <row r="42" spans="1:12" ht="12.75">
      <c r="A42" s="571">
        <v>34</v>
      </c>
      <c r="B42" s="719"/>
      <c r="C42" s="720">
        <v>637</v>
      </c>
      <c r="D42" s="721">
        <v>2</v>
      </c>
      <c r="E42" s="722" t="s">
        <v>363</v>
      </c>
      <c r="F42" s="722"/>
      <c r="G42" s="722"/>
      <c r="H42" s="723">
        <v>0</v>
      </c>
      <c r="I42" s="723">
        <v>0</v>
      </c>
      <c r="J42" s="723">
        <v>0</v>
      </c>
      <c r="K42" s="723">
        <v>0</v>
      </c>
      <c r="L42" s="724">
        <v>0</v>
      </c>
    </row>
    <row r="43" spans="4:12" ht="12.75">
      <c r="D43" s="547"/>
      <c r="E43" s="547"/>
      <c r="F43" s="547"/>
      <c r="G43" s="547"/>
      <c r="H43" s="547"/>
      <c r="I43" s="547"/>
      <c r="J43" s="547"/>
      <c r="K43" s="547"/>
      <c r="L43" s="547"/>
    </row>
  </sheetData>
  <mergeCells count="5">
    <mergeCell ref="D40:E40"/>
    <mergeCell ref="G3:L3"/>
    <mergeCell ref="D4:F6"/>
    <mergeCell ref="D33:E33"/>
    <mergeCell ref="D34:E34"/>
  </mergeCells>
  <printOptions/>
  <pageMargins left="0.7875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E18" sqref="E18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2" width="9.7109375" style="0" customWidth="1"/>
  </cols>
  <sheetData>
    <row r="1" spans="2:12" ht="15.75">
      <c r="B1" s="415" t="s">
        <v>364</v>
      </c>
      <c r="E1" s="415" t="s">
        <v>365</v>
      </c>
      <c r="F1" s="413"/>
      <c r="G1" s="579" t="e">
        <f>G2-G7</f>
        <v>#REF!</v>
      </c>
      <c r="H1" s="579"/>
      <c r="I1" s="579"/>
      <c r="J1" s="580">
        <f>J2-J7</f>
        <v>0</v>
      </c>
      <c r="K1" s="580">
        <f>K2-K7</f>
        <v>0</v>
      </c>
      <c r="L1" s="580">
        <f>L2-L7</f>
        <v>0</v>
      </c>
    </row>
    <row r="2" spans="2:12" ht="15.75">
      <c r="B2" s="415"/>
      <c r="G2" s="581" t="e">
        <f>SUM(G8:G10)</f>
        <v>#REF!</v>
      </c>
      <c r="H2" s="581"/>
      <c r="I2" s="581"/>
      <c r="J2" s="423">
        <f>SUM(J8:J10)</f>
        <v>77984</v>
      </c>
      <c r="K2" s="423">
        <f>SUM(K8:K10)</f>
        <v>16984</v>
      </c>
      <c r="L2" s="423">
        <f>SUM(L8:L10)</f>
        <v>16984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1.25" customHeight="1">
      <c r="A4" s="429"/>
      <c r="B4" s="430" t="s">
        <v>203</v>
      </c>
      <c r="C4" s="431" t="s">
        <v>204</v>
      </c>
      <c r="D4" s="1475" t="s">
        <v>205</v>
      </c>
      <c r="E4" s="1475"/>
      <c r="F4" s="1475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5" customHeight="1">
      <c r="A5" s="429"/>
      <c r="B5" s="430" t="s">
        <v>206</v>
      </c>
      <c r="C5" s="431" t="s">
        <v>207</v>
      </c>
      <c r="D5" s="1475"/>
      <c r="E5" s="1475"/>
      <c r="F5" s="1475"/>
      <c r="G5" s="434" t="s">
        <v>208</v>
      </c>
      <c r="H5" s="435" t="s">
        <v>210</v>
      </c>
      <c r="I5" s="435" t="s">
        <v>210</v>
      </c>
      <c r="J5" s="435" t="s">
        <v>209</v>
      </c>
      <c r="K5" s="435" t="s">
        <v>210</v>
      </c>
      <c r="L5" s="435" t="s">
        <v>210</v>
      </c>
    </row>
    <row r="6" spans="1:12" ht="12.75">
      <c r="A6" s="583"/>
      <c r="B6" s="584" t="s">
        <v>211</v>
      </c>
      <c r="C6" s="585" t="s">
        <v>212</v>
      </c>
      <c r="D6" s="1475"/>
      <c r="E6" s="1475"/>
      <c r="F6" s="1475"/>
      <c r="G6" s="586">
        <v>1</v>
      </c>
      <c r="H6" s="587">
        <v>-2</v>
      </c>
      <c r="I6" s="587">
        <v>-1</v>
      </c>
      <c r="J6" s="587">
        <v>1</v>
      </c>
      <c r="K6" s="587">
        <v>2</v>
      </c>
      <c r="L6" s="587">
        <v>3</v>
      </c>
    </row>
    <row r="7" spans="1:12" ht="15">
      <c r="A7" s="447">
        <v>1</v>
      </c>
      <c r="B7" s="588" t="s">
        <v>364</v>
      </c>
      <c r="C7" s="589"/>
      <c r="D7" s="590"/>
      <c r="E7" s="591" t="s">
        <v>365</v>
      </c>
      <c r="F7" s="592"/>
      <c r="G7" s="593" t="e">
        <f>G11+G23</f>
        <v>#REF!</v>
      </c>
      <c r="H7" s="446">
        <f>SUM(H8:H10)</f>
        <v>183361.32</v>
      </c>
      <c r="I7" s="446">
        <f>SUM(I8:I10)</f>
        <v>57800</v>
      </c>
      <c r="J7" s="594">
        <f>SUM(J8:J10)</f>
        <v>77984</v>
      </c>
      <c r="K7" s="446">
        <f>SUM(K8:K10)</f>
        <v>16984</v>
      </c>
      <c r="L7" s="446">
        <f>SUM(L8:L10)</f>
        <v>16984</v>
      </c>
    </row>
    <row r="8" spans="1:12" ht="12.75">
      <c r="A8" s="447">
        <f aca="true" t="shared" si="0" ref="A8:A17">A7+1</f>
        <v>2</v>
      </c>
      <c r="B8" s="595" t="s">
        <v>214</v>
      </c>
      <c r="C8" s="449" t="s">
        <v>215</v>
      </c>
      <c r="D8" s="450"/>
      <c r="E8" s="451"/>
      <c r="F8" s="452"/>
      <c r="G8" s="596" t="e">
        <f>G12+G24</f>
        <v>#REF!</v>
      </c>
      <c r="H8" s="598">
        <f>SUM(H12+H24)</f>
        <v>35907.270000000004</v>
      </c>
      <c r="I8" s="598">
        <f>SUM(I12+I24)</f>
        <v>19844</v>
      </c>
      <c r="J8" s="597">
        <f>SUM(J12+J24)</f>
        <v>17984</v>
      </c>
      <c r="K8" s="598">
        <f>SUM(K12+K24)</f>
        <v>16984</v>
      </c>
      <c r="L8" s="598">
        <f>SUM(L12+L24)</f>
        <v>16984</v>
      </c>
    </row>
    <row r="9" spans="1:12" ht="12.75">
      <c r="A9" s="447">
        <f t="shared" si="0"/>
        <v>3</v>
      </c>
      <c r="B9" s="595" t="s">
        <v>216</v>
      </c>
      <c r="C9" s="449" t="s">
        <v>217</v>
      </c>
      <c r="D9" s="450"/>
      <c r="E9" s="451"/>
      <c r="F9" s="452"/>
      <c r="G9" s="596" t="e">
        <f>#REF!</f>
        <v>#REF!</v>
      </c>
      <c r="H9" s="598">
        <f>H18+H30</f>
        <v>147454.05</v>
      </c>
      <c r="I9" s="598">
        <f>I18+I30</f>
        <v>37956</v>
      </c>
      <c r="J9" s="598">
        <f>J18+J30</f>
        <v>60000</v>
      </c>
      <c r="K9" s="598">
        <f>K18+K30</f>
        <v>0</v>
      </c>
      <c r="L9" s="598">
        <f>L18+L30</f>
        <v>0</v>
      </c>
    </row>
    <row r="10" spans="1:12" ht="12.75">
      <c r="A10" s="447">
        <f t="shared" si="0"/>
        <v>4</v>
      </c>
      <c r="B10" s="600"/>
      <c r="C10" s="456" t="s">
        <v>218</v>
      </c>
      <c r="D10" s="457"/>
      <c r="E10" s="458"/>
      <c r="F10" s="459"/>
      <c r="G10" s="601">
        <v>0</v>
      </c>
      <c r="H10" s="598">
        <v>0</v>
      </c>
      <c r="I10" s="598">
        <v>0</v>
      </c>
      <c r="J10" s="597">
        <v>0</v>
      </c>
      <c r="K10" s="598">
        <v>0</v>
      </c>
      <c r="L10" s="598">
        <v>0</v>
      </c>
    </row>
    <row r="11" spans="1:12" ht="12.75">
      <c r="A11" s="447">
        <f t="shared" si="0"/>
        <v>5</v>
      </c>
      <c r="B11" s="604">
        <v>1</v>
      </c>
      <c r="C11" s="564" t="s">
        <v>366</v>
      </c>
      <c r="D11" s="464"/>
      <c r="E11" s="464"/>
      <c r="F11" s="465"/>
      <c r="G11" s="466" t="e">
        <f>SUM(G13)+#REF!</f>
        <v>#REF!</v>
      </c>
      <c r="H11" s="467">
        <f>SUM(H12,H18)</f>
        <v>167711.31999999998</v>
      </c>
      <c r="I11" s="467">
        <f>SUM(I12,I18)</f>
        <v>41950</v>
      </c>
      <c r="J11" s="467">
        <f>SUM(J12,J18)</f>
        <v>62334</v>
      </c>
      <c r="K11" s="467">
        <f>SUM(K12,K18)</f>
        <v>1334</v>
      </c>
      <c r="L11" s="467">
        <f>SUM(L12,L18)</f>
        <v>1334</v>
      </c>
    </row>
    <row r="12" spans="1:12" s="517" customFormat="1" ht="12.75">
      <c r="A12" s="447">
        <f t="shared" si="0"/>
        <v>6</v>
      </c>
      <c r="B12" s="606"/>
      <c r="C12" s="478"/>
      <c r="D12" s="452" t="s">
        <v>215</v>
      </c>
      <c r="E12" s="479"/>
      <c r="F12" s="480"/>
      <c r="G12" s="481" t="e">
        <f aca="true" t="shared" si="1" ref="G12:L12">G13</f>
        <v>#REF!</v>
      </c>
      <c r="H12" s="482">
        <f t="shared" si="1"/>
        <v>20257.27</v>
      </c>
      <c r="I12" s="482">
        <f t="shared" si="1"/>
        <v>3994</v>
      </c>
      <c r="J12" s="482">
        <f t="shared" si="1"/>
        <v>2334</v>
      </c>
      <c r="K12" s="482">
        <f t="shared" si="1"/>
        <v>1334</v>
      </c>
      <c r="L12" s="482">
        <f t="shared" si="1"/>
        <v>1334</v>
      </c>
    </row>
    <row r="13" spans="1:12" ht="12.75">
      <c r="A13" s="447">
        <f t="shared" si="0"/>
        <v>7</v>
      </c>
      <c r="B13" s="608"/>
      <c r="C13" s="609" t="s">
        <v>367</v>
      </c>
      <c r="D13" s="519" t="s">
        <v>366</v>
      </c>
      <c r="E13" s="610"/>
      <c r="F13" s="611"/>
      <c r="G13" s="521" t="e">
        <f>SUM(#REF!)</f>
        <v>#REF!</v>
      </c>
      <c r="H13" s="489">
        <f>SUM(H14,H15,H16,H17)</f>
        <v>20257.27</v>
      </c>
      <c r="I13" s="489">
        <f>SUM(I14,I15,I16,I17)</f>
        <v>3994</v>
      </c>
      <c r="J13" s="489">
        <f>SUM(J14,J15,J16,J17)</f>
        <v>2334</v>
      </c>
      <c r="K13" s="489">
        <f>SUM(K14,K15,K16,K17)</f>
        <v>1334</v>
      </c>
      <c r="L13" s="489">
        <f>SUM(L14,L15,L16,L17)</f>
        <v>1334</v>
      </c>
    </row>
    <row r="14" spans="1:12" ht="12.75">
      <c r="A14" s="447">
        <f t="shared" si="0"/>
        <v>8</v>
      </c>
      <c r="B14" s="608"/>
      <c r="C14" s="540" t="s">
        <v>224</v>
      </c>
      <c r="D14" s="541" t="s">
        <v>251</v>
      </c>
      <c r="E14" s="498" t="s">
        <v>736</v>
      </c>
      <c r="F14" s="529"/>
      <c r="G14" s="530"/>
      <c r="H14" s="501">
        <f>výdavky!D229</f>
        <v>1790.49</v>
      </c>
      <c r="I14" s="501">
        <f>výdavky!E229</f>
        <v>234</v>
      </c>
      <c r="J14" s="501">
        <f>výdavky!F229</f>
        <v>234</v>
      </c>
      <c r="K14" s="501">
        <f>výdavky!G229</f>
        <v>234</v>
      </c>
      <c r="L14" s="501">
        <f>výdavky!H229</f>
        <v>234</v>
      </c>
    </row>
    <row r="15" spans="1:12" ht="12.75">
      <c r="A15" s="447">
        <f t="shared" si="0"/>
        <v>9</v>
      </c>
      <c r="B15" s="608"/>
      <c r="C15" s="540" t="s">
        <v>230</v>
      </c>
      <c r="D15" s="541" t="s">
        <v>253</v>
      </c>
      <c r="E15" s="498" t="s">
        <v>231</v>
      </c>
      <c r="F15" s="529"/>
      <c r="G15" s="530"/>
      <c r="H15" s="501">
        <f>výdavky!D230</f>
        <v>250</v>
      </c>
      <c r="I15" s="501">
        <f>výdavky!E230</f>
        <v>100</v>
      </c>
      <c r="J15" s="501">
        <f>výdavky!F230</f>
        <v>100</v>
      </c>
      <c r="K15" s="501">
        <f>výdavky!G230</f>
        <v>100</v>
      </c>
      <c r="L15" s="501">
        <f>výdavky!H230</f>
        <v>100</v>
      </c>
    </row>
    <row r="16" spans="1:12" ht="12.75">
      <c r="A16" s="447">
        <f t="shared" si="0"/>
        <v>10</v>
      </c>
      <c r="B16" s="608"/>
      <c r="C16" s="540" t="s">
        <v>240</v>
      </c>
      <c r="D16" s="541" t="s">
        <v>264</v>
      </c>
      <c r="E16" s="498" t="s">
        <v>241</v>
      </c>
      <c r="F16" s="529"/>
      <c r="G16" s="530"/>
      <c r="H16" s="501">
        <f>výdavky!D231</f>
        <v>10500</v>
      </c>
      <c r="I16" s="501">
        <f>výdavky!E231</f>
        <v>2700</v>
      </c>
      <c r="J16" s="501">
        <f>výdavky!F231</f>
        <v>2000</v>
      </c>
      <c r="K16" s="501">
        <f>výdavky!G231</f>
        <v>1000</v>
      </c>
      <c r="L16" s="501">
        <f>výdavky!H231</f>
        <v>1000</v>
      </c>
    </row>
    <row r="17" spans="1:12" ht="12.75">
      <c r="A17" s="447">
        <f t="shared" si="0"/>
        <v>11</v>
      </c>
      <c r="B17" s="608"/>
      <c r="C17" s="540" t="s">
        <v>240</v>
      </c>
      <c r="D17" s="541" t="s">
        <v>266</v>
      </c>
      <c r="E17" s="498" t="s">
        <v>562</v>
      </c>
      <c r="F17" s="725"/>
      <c r="G17" s="726"/>
      <c r="H17" s="501">
        <f>výdavky!D232</f>
        <v>7716.78</v>
      </c>
      <c r="I17" s="501">
        <f>výdavky!E232</f>
        <v>960</v>
      </c>
      <c r="J17" s="501">
        <f>výdavky!F232</f>
        <v>0</v>
      </c>
      <c r="K17" s="501">
        <f>výdavky!G232</f>
        <v>0</v>
      </c>
      <c r="L17" s="501">
        <f>výdavky!H232</f>
        <v>0</v>
      </c>
    </row>
    <row r="18" spans="1:12" ht="12.75">
      <c r="A18" s="447">
        <v>12</v>
      </c>
      <c r="B18" s="483"/>
      <c r="C18" s="542"/>
      <c r="D18" s="452" t="s">
        <v>217</v>
      </c>
      <c r="E18" s="508"/>
      <c r="F18" s="480"/>
      <c r="G18" s="481">
        <f>G20</f>
        <v>0</v>
      </c>
      <c r="H18" s="482">
        <f>H19</f>
        <v>147454.05</v>
      </c>
      <c r="I18" s="482">
        <f>I19</f>
        <v>37956</v>
      </c>
      <c r="J18" s="482">
        <f>J19</f>
        <v>60000</v>
      </c>
      <c r="K18" s="482">
        <f>K19</f>
        <v>0</v>
      </c>
      <c r="L18" s="482">
        <f>L19</f>
        <v>0</v>
      </c>
    </row>
    <row r="19" spans="1:12" ht="12.75">
      <c r="A19" s="447">
        <f>A18+1</f>
        <v>13</v>
      </c>
      <c r="B19" s="483"/>
      <c r="C19" s="484" t="s">
        <v>367</v>
      </c>
      <c r="D19" s="485" t="s">
        <v>366</v>
      </c>
      <c r="E19" s="486"/>
      <c r="F19" s="487"/>
      <c r="G19" s="488">
        <f>SUM(G20:G25)</f>
        <v>234.29999999999998</v>
      </c>
      <c r="H19" s="489">
        <f>SUM(H20,H21,H22)</f>
        <v>147454.05</v>
      </c>
      <c r="I19" s="489">
        <f>SUM(I20,I21,I22)</f>
        <v>37956</v>
      </c>
      <c r="J19" s="489">
        <f>SUM(J20,J21,J22)</f>
        <v>60000</v>
      </c>
      <c r="K19" s="489">
        <f>SUM(K20,K21,K22)</f>
        <v>0</v>
      </c>
      <c r="L19" s="489">
        <f>SUM(L20,L21,L22)</f>
        <v>0</v>
      </c>
    </row>
    <row r="20" spans="1:12" ht="12.75">
      <c r="A20" s="447">
        <f>A19+1</f>
        <v>14</v>
      </c>
      <c r="B20" s="608"/>
      <c r="C20" s="540" t="s">
        <v>368</v>
      </c>
      <c r="D20" s="541" t="s">
        <v>268</v>
      </c>
      <c r="E20" s="637" t="s">
        <v>369</v>
      </c>
      <c r="F20" s="509"/>
      <c r="G20" s="510"/>
      <c r="H20" s="501">
        <f>výdavky!D414</f>
        <v>4500</v>
      </c>
      <c r="I20" s="501">
        <f>výdavky!E414</f>
        <v>2015</v>
      </c>
      <c r="J20" s="501">
        <v>0</v>
      </c>
      <c r="K20" s="501">
        <v>0</v>
      </c>
      <c r="L20" s="501">
        <v>0</v>
      </c>
    </row>
    <row r="21" spans="1:12" ht="12.75">
      <c r="A21" s="447"/>
      <c r="B21" s="608"/>
      <c r="C21" s="540" t="s">
        <v>370</v>
      </c>
      <c r="D21" s="541" t="s">
        <v>272</v>
      </c>
      <c r="E21" s="637" t="s">
        <v>89</v>
      </c>
      <c r="F21" s="509"/>
      <c r="G21" s="510"/>
      <c r="H21" s="501">
        <v>0</v>
      </c>
      <c r="I21" s="501">
        <f>výdavky!E413</f>
        <v>35941</v>
      </c>
      <c r="J21" s="501">
        <f>výdavky!F413</f>
        <v>60000</v>
      </c>
      <c r="K21" s="501">
        <v>0</v>
      </c>
      <c r="L21" s="501">
        <v>0</v>
      </c>
    </row>
    <row r="22" spans="1:12" ht="12.75">
      <c r="A22" s="447">
        <f>A20+1</f>
        <v>15</v>
      </c>
      <c r="B22" s="608"/>
      <c r="C22" s="540" t="s">
        <v>370</v>
      </c>
      <c r="D22" s="541" t="s">
        <v>275</v>
      </c>
      <c r="E22" s="637" t="s">
        <v>371</v>
      </c>
      <c r="F22" s="509"/>
      <c r="G22" s="510"/>
      <c r="H22" s="501">
        <f>výdavky!D417</f>
        <v>142954.05</v>
      </c>
      <c r="I22" s="501">
        <f>výdavky!E417</f>
        <v>0</v>
      </c>
      <c r="J22" s="501">
        <v>0</v>
      </c>
      <c r="K22" s="501">
        <v>0</v>
      </c>
      <c r="L22" s="501">
        <v>0</v>
      </c>
    </row>
    <row r="23" spans="1:12" ht="12.75">
      <c r="A23" s="447">
        <f>A22+1</f>
        <v>16</v>
      </c>
      <c r="B23" s="604">
        <v>2</v>
      </c>
      <c r="C23" s="694" t="s">
        <v>372</v>
      </c>
      <c r="D23" s="464"/>
      <c r="E23" s="464"/>
      <c r="F23" s="465"/>
      <c r="G23" s="466">
        <f>SUM(G25)</f>
        <v>78.1</v>
      </c>
      <c r="H23" s="468">
        <f aca="true" t="shared" si="2" ref="H23:L24">H24</f>
        <v>15650</v>
      </c>
      <c r="I23" s="468">
        <f t="shared" si="2"/>
        <v>15850</v>
      </c>
      <c r="J23" s="468">
        <f t="shared" si="2"/>
        <v>15650</v>
      </c>
      <c r="K23" s="468">
        <f t="shared" si="2"/>
        <v>15650</v>
      </c>
      <c r="L23" s="468">
        <f t="shared" si="2"/>
        <v>15650</v>
      </c>
    </row>
    <row r="24" spans="1:12" s="517" customFormat="1" ht="12.75">
      <c r="A24" s="447">
        <f>A23+1</f>
        <v>17</v>
      </c>
      <c r="B24" s="606"/>
      <c r="C24" s="695"/>
      <c r="D24" s="452" t="s">
        <v>215</v>
      </c>
      <c r="E24" s="479"/>
      <c r="F24" s="480"/>
      <c r="G24" s="481">
        <f>G25</f>
        <v>78.1</v>
      </c>
      <c r="H24" s="482">
        <f t="shared" si="2"/>
        <v>15650</v>
      </c>
      <c r="I24" s="482">
        <f t="shared" si="2"/>
        <v>15850</v>
      </c>
      <c r="J24" s="482">
        <f t="shared" si="2"/>
        <v>15650</v>
      </c>
      <c r="K24" s="482">
        <f t="shared" si="2"/>
        <v>15650</v>
      </c>
      <c r="L24" s="482">
        <f t="shared" si="2"/>
        <v>15650</v>
      </c>
    </row>
    <row r="25" spans="1:12" ht="12.75">
      <c r="A25" s="447">
        <f>A24+1</f>
        <v>18</v>
      </c>
      <c r="B25" s="608"/>
      <c r="C25" s="696" t="s">
        <v>373</v>
      </c>
      <c r="D25" s="519" t="s">
        <v>372</v>
      </c>
      <c r="E25" s="610"/>
      <c r="F25" s="611"/>
      <c r="G25" s="521">
        <f>G34</f>
        <v>78.1</v>
      </c>
      <c r="H25" s="489">
        <f>H34+SUM(H26,H27,H28,H29)</f>
        <v>15650</v>
      </c>
      <c r="I25" s="489">
        <f>I34+SUM(I26,I27,I28,I29)</f>
        <v>15850</v>
      </c>
      <c r="J25" s="489">
        <f>J34+SUM(J26,J27,J28,J29)</f>
        <v>15650</v>
      </c>
      <c r="K25" s="489">
        <f>K34+SUM(K26,K27,K28,K29)</f>
        <v>15650</v>
      </c>
      <c r="L25" s="489">
        <f>L34+SUM(L26,L27,L28,L29)</f>
        <v>15650</v>
      </c>
    </row>
    <row r="26" spans="1:12" ht="12.75">
      <c r="A26" s="447">
        <v>19</v>
      </c>
      <c r="B26" s="608"/>
      <c r="C26" s="540" t="s">
        <v>230</v>
      </c>
      <c r="D26" s="527">
        <v>1</v>
      </c>
      <c r="E26" s="528" t="s">
        <v>231</v>
      </c>
      <c r="F26" s="529"/>
      <c r="G26" s="530"/>
      <c r="H26" s="501">
        <f>výdavky!D235</f>
        <v>15000</v>
      </c>
      <c r="I26" s="501">
        <f>výdavky!E235</f>
        <v>15000</v>
      </c>
      <c r="J26" s="501">
        <f>výdavky!F235</f>
        <v>15000</v>
      </c>
      <c r="K26" s="501">
        <f>výdavky!G235</f>
        <v>15000</v>
      </c>
      <c r="L26" s="501">
        <f>výdavky!H235</f>
        <v>15000</v>
      </c>
    </row>
    <row r="27" spans="1:12" ht="12.75">
      <c r="A27" s="447">
        <v>20</v>
      </c>
      <c r="B27" s="608"/>
      <c r="C27" s="540" t="s">
        <v>232</v>
      </c>
      <c r="D27" s="527">
        <v>2</v>
      </c>
      <c r="E27" s="528" t="s">
        <v>233</v>
      </c>
      <c r="F27" s="529"/>
      <c r="G27" s="530"/>
      <c r="H27" s="501">
        <f>výdavky!D236</f>
        <v>150</v>
      </c>
      <c r="I27" s="501">
        <f>výdavky!E236</f>
        <v>150</v>
      </c>
      <c r="J27" s="501">
        <f>výdavky!F236</f>
        <v>150</v>
      </c>
      <c r="K27" s="501">
        <f>výdavky!G236</f>
        <v>150</v>
      </c>
      <c r="L27" s="501">
        <f>výdavky!H236</f>
        <v>150</v>
      </c>
    </row>
    <row r="28" spans="1:12" ht="12.75">
      <c r="A28" s="447">
        <v>21</v>
      </c>
      <c r="B28" s="608"/>
      <c r="C28" s="540" t="s">
        <v>236</v>
      </c>
      <c r="D28" s="527">
        <v>3</v>
      </c>
      <c r="E28" s="528" t="s">
        <v>319</v>
      </c>
      <c r="F28" s="529"/>
      <c r="G28" s="530"/>
      <c r="H28" s="501">
        <f>výdavky!D237</f>
        <v>500</v>
      </c>
      <c r="I28" s="501">
        <f>výdavky!E237</f>
        <v>600</v>
      </c>
      <c r="J28" s="501">
        <f>výdavky!F237</f>
        <v>500</v>
      </c>
      <c r="K28" s="501">
        <f>výdavky!G237</f>
        <v>500</v>
      </c>
      <c r="L28" s="501">
        <f>výdavky!H237</f>
        <v>500</v>
      </c>
    </row>
    <row r="29" spans="1:12" ht="12.75">
      <c r="A29" s="447">
        <v>22</v>
      </c>
      <c r="B29" s="608"/>
      <c r="C29" s="540" t="s">
        <v>240</v>
      </c>
      <c r="D29" s="527">
        <v>4</v>
      </c>
      <c r="E29" s="528" t="s">
        <v>241</v>
      </c>
      <c r="F29" s="529"/>
      <c r="G29" s="530"/>
      <c r="H29" s="501">
        <f>výdavky!D238</f>
        <v>0</v>
      </c>
      <c r="I29" s="501">
        <f>výdavky!E238</f>
        <v>100</v>
      </c>
      <c r="J29" s="501">
        <f>výdavky!F238</f>
        <v>0</v>
      </c>
      <c r="K29" s="501">
        <f>výdavky!G238</f>
        <v>0</v>
      </c>
      <c r="L29" s="501">
        <f>výdavky!H238</f>
        <v>0</v>
      </c>
    </row>
    <row r="30" spans="1:12" ht="12.75">
      <c r="A30" s="447">
        <v>25</v>
      </c>
      <c r="B30" s="608"/>
      <c r="C30" s="540"/>
      <c r="D30" s="1443" t="s">
        <v>217</v>
      </c>
      <c r="E30" s="1443"/>
      <c r="F30" s="667"/>
      <c r="G30" s="697"/>
      <c r="H30" s="669">
        <f>SUM(H31)</f>
        <v>0</v>
      </c>
      <c r="I30" s="669">
        <f>SUM(I31)</f>
        <v>0</v>
      </c>
      <c r="J30" s="669">
        <f>SUM(J31)</f>
        <v>0</v>
      </c>
      <c r="K30" s="669">
        <f>SUM(K31)</f>
        <v>0</v>
      </c>
      <c r="L30" s="669">
        <f>SUM(L31)</f>
        <v>0</v>
      </c>
    </row>
    <row r="31" spans="1:12" ht="12.75">
      <c r="A31" s="447">
        <v>26</v>
      </c>
      <c r="B31" s="608"/>
      <c r="C31" s="696" t="s">
        <v>373</v>
      </c>
      <c r="D31" s="1476" t="s">
        <v>372</v>
      </c>
      <c r="E31" s="1476"/>
      <c r="F31" s="611"/>
      <c r="G31" s="521"/>
      <c r="H31" s="699">
        <f>SUM(H32,H33,H34)</f>
        <v>0</v>
      </c>
      <c r="I31" s="699">
        <f>SUM(I32,I33,I34)</f>
        <v>0</v>
      </c>
      <c r="J31" s="699">
        <f>SUM(J32,J33,J34)</f>
        <v>0</v>
      </c>
      <c r="K31" s="699">
        <f>SUM(K32,K33,K34)</f>
        <v>0</v>
      </c>
      <c r="L31" s="699">
        <f>SUM(L32,L33,L34)</f>
        <v>0</v>
      </c>
    </row>
    <row r="32" spans="1:12" ht="12.75">
      <c r="A32" s="447">
        <v>27</v>
      </c>
      <c r="B32" s="608"/>
      <c r="C32" s="540" t="s">
        <v>332</v>
      </c>
      <c r="D32" s="527">
        <v>7</v>
      </c>
      <c r="E32" s="528" t="s">
        <v>374</v>
      </c>
      <c r="F32" s="499"/>
      <c r="G32" s="701"/>
      <c r="H32" s="501">
        <f>výdavky!D418</f>
        <v>0</v>
      </c>
      <c r="I32" s="501">
        <v>0</v>
      </c>
      <c r="J32" s="501">
        <v>0</v>
      </c>
      <c r="K32" s="501">
        <v>0</v>
      </c>
      <c r="L32" s="501">
        <v>0</v>
      </c>
    </row>
    <row r="33" spans="1:12" ht="12.75">
      <c r="A33" s="447">
        <v>28</v>
      </c>
      <c r="B33" s="608"/>
      <c r="C33" s="540"/>
      <c r="D33" s="527"/>
      <c r="E33" s="528"/>
      <c r="F33" s="529"/>
      <c r="G33" s="530"/>
      <c r="H33" s="501"/>
      <c r="I33" s="501"/>
      <c r="J33" s="501"/>
      <c r="K33" s="501"/>
      <c r="L33" s="501"/>
    </row>
    <row r="34" spans="1:12" s="517" customFormat="1" ht="12.75">
      <c r="A34" s="571">
        <v>29</v>
      </c>
      <c r="B34" s="727"/>
      <c r="C34" s="615"/>
      <c r="D34" s="574"/>
      <c r="E34" s="728"/>
      <c r="F34" s="618"/>
      <c r="G34" s="689">
        <v>78.1</v>
      </c>
      <c r="H34" s="621"/>
      <c r="I34" s="621"/>
      <c r="J34" s="621"/>
      <c r="K34" s="621"/>
      <c r="L34" s="621"/>
    </row>
  </sheetData>
  <mergeCells count="4">
    <mergeCell ref="G3:L3"/>
    <mergeCell ref="D4:F6"/>
    <mergeCell ref="D30:E30"/>
    <mergeCell ref="D31:E31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4" sqref="L4"/>
    </sheetView>
  </sheetViews>
  <sheetFormatPr defaultColWidth="9.140625" defaultRowHeight="12.75"/>
  <cols>
    <col min="1" max="1" width="3.57421875" style="411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8" max="12" width="8.28125" style="0" customWidth="1"/>
  </cols>
  <sheetData>
    <row r="1" spans="2:12" ht="15.75">
      <c r="B1" s="415" t="s">
        <v>375</v>
      </c>
      <c r="E1" s="415" t="s">
        <v>376</v>
      </c>
      <c r="F1" s="413"/>
      <c r="G1" s="579" t="e">
        <f>G2-G7</f>
        <v>#REF!</v>
      </c>
      <c r="H1" s="579"/>
      <c r="I1" s="579"/>
      <c r="J1" s="580">
        <f>J2-J7</f>
        <v>0</v>
      </c>
      <c r="K1" s="580">
        <f>K2-K7</f>
        <v>0</v>
      </c>
      <c r="L1" s="580">
        <f>L2-L7</f>
        <v>0</v>
      </c>
    </row>
    <row r="2" spans="2:12" ht="15.75">
      <c r="B2" s="415"/>
      <c r="G2" s="581" t="e">
        <f>SUM(G8:G10)</f>
        <v>#REF!</v>
      </c>
      <c r="H2" s="581"/>
      <c r="I2" s="581"/>
      <c r="J2" s="423">
        <f>SUM(J8:J10)</f>
        <v>18500</v>
      </c>
      <c r="K2" s="423">
        <f>SUM(K8:K10)</f>
        <v>15500</v>
      </c>
      <c r="L2" s="423">
        <f>SUM(L8:L10)</f>
        <v>13500</v>
      </c>
    </row>
    <row r="3" spans="1:12" ht="15.75">
      <c r="A3" s="424"/>
      <c r="B3" s="425"/>
      <c r="C3" s="426"/>
      <c r="D3" s="426"/>
      <c r="E3" s="427"/>
      <c r="F3" s="428"/>
      <c r="G3" s="1473" t="s">
        <v>202</v>
      </c>
      <c r="H3" s="1473"/>
      <c r="I3" s="1473"/>
      <c r="J3" s="1473"/>
      <c r="K3" s="1473"/>
      <c r="L3" s="1473"/>
    </row>
    <row r="4" spans="1:12" ht="11.25" customHeight="1">
      <c r="A4" s="429"/>
      <c r="B4" s="430" t="s">
        <v>203</v>
      </c>
      <c r="C4" s="431" t="s">
        <v>204</v>
      </c>
      <c r="D4" s="1475" t="s">
        <v>205</v>
      </c>
      <c r="E4" s="1475"/>
      <c r="F4" s="1475"/>
      <c r="G4" s="432"/>
      <c r="H4" s="433">
        <v>2012</v>
      </c>
      <c r="I4" s="433">
        <v>2013</v>
      </c>
      <c r="J4" s="433">
        <v>2014</v>
      </c>
      <c r="K4" s="433">
        <v>2015</v>
      </c>
      <c r="L4" s="433">
        <v>2016</v>
      </c>
    </row>
    <row r="5" spans="1:12" ht="15" customHeight="1">
      <c r="A5" s="429"/>
      <c r="B5" s="430" t="s">
        <v>206</v>
      </c>
      <c r="C5" s="431" t="s">
        <v>207</v>
      </c>
      <c r="D5" s="1475"/>
      <c r="E5" s="1475"/>
      <c r="F5" s="1475"/>
      <c r="G5" s="434" t="s">
        <v>208</v>
      </c>
      <c r="H5" s="435" t="s">
        <v>210</v>
      </c>
      <c r="I5" s="435" t="s">
        <v>210</v>
      </c>
      <c r="J5" s="435" t="s">
        <v>209</v>
      </c>
      <c r="K5" s="435" t="s">
        <v>210</v>
      </c>
      <c r="L5" s="435" t="s">
        <v>210</v>
      </c>
    </row>
    <row r="6" spans="1:12" ht="12.75">
      <c r="A6" s="583"/>
      <c r="B6" s="584" t="s">
        <v>211</v>
      </c>
      <c r="C6" s="585" t="s">
        <v>212</v>
      </c>
      <c r="D6" s="1475"/>
      <c r="E6" s="1475"/>
      <c r="F6" s="1475"/>
      <c r="G6" s="586">
        <v>1</v>
      </c>
      <c r="H6" s="587">
        <v>-2</v>
      </c>
      <c r="I6" s="587">
        <v>-1</v>
      </c>
      <c r="J6" s="587">
        <v>1</v>
      </c>
      <c r="K6" s="587">
        <v>2</v>
      </c>
      <c r="L6" s="587">
        <v>3</v>
      </c>
    </row>
    <row r="7" spans="1:12" ht="15">
      <c r="A7" s="447">
        <v>1</v>
      </c>
      <c r="B7" s="588" t="s">
        <v>375</v>
      </c>
      <c r="C7" s="589"/>
      <c r="D7" s="590"/>
      <c r="E7" s="591" t="s">
        <v>376</v>
      </c>
      <c r="F7" s="592"/>
      <c r="G7" s="593" t="e">
        <f>G11+#REF!</f>
        <v>#REF!</v>
      </c>
      <c r="H7" s="446">
        <f>SUM(H8:H10)</f>
        <v>18500</v>
      </c>
      <c r="I7" s="446">
        <f>SUM(I8:I10)</f>
        <v>28250</v>
      </c>
      <c r="J7" s="594">
        <f>SUM(J8:J10)</f>
        <v>18500</v>
      </c>
      <c r="K7" s="446">
        <f>SUM(K8:K10)</f>
        <v>15500</v>
      </c>
      <c r="L7" s="446">
        <f>SUM(L8:L10)</f>
        <v>13500</v>
      </c>
    </row>
    <row r="8" spans="1:12" ht="12.75">
      <c r="A8" s="447">
        <f aca="true" t="shared" si="0" ref="A8:A14">A7+1</f>
        <v>2</v>
      </c>
      <c r="B8" s="595" t="s">
        <v>214</v>
      </c>
      <c r="C8" s="449" t="s">
        <v>215</v>
      </c>
      <c r="D8" s="450"/>
      <c r="E8" s="451"/>
      <c r="F8" s="452"/>
      <c r="G8" s="596" t="e">
        <f>G12+#REF!</f>
        <v>#REF!</v>
      </c>
      <c r="H8" s="598">
        <f>SUM(H12)</f>
        <v>18500</v>
      </c>
      <c r="I8" s="598">
        <f>SUM(I12)</f>
        <v>28250</v>
      </c>
      <c r="J8" s="597">
        <f>SUM(J12)</f>
        <v>18500</v>
      </c>
      <c r="K8" s="598">
        <f>SUM(K12)</f>
        <v>15500</v>
      </c>
      <c r="L8" s="598">
        <f>SUM(L12)</f>
        <v>13500</v>
      </c>
    </row>
    <row r="9" spans="1:12" ht="12.75">
      <c r="A9" s="447">
        <f t="shared" si="0"/>
        <v>3</v>
      </c>
      <c r="B9" s="595" t="s">
        <v>216</v>
      </c>
      <c r="C9" s="449" t="s">
        <v>217</v>
      </c>
      <c r="D9" s="450"/>
      <c r="E9" s="451"/>
      <c r="F9" s="452"/>
      <c r="G9" s="596" t="e">
        <f>#REF!</f>
        <v>#REF!</v>
      </c>
      <c r="H9" s="598">
        <f>H20</f>
        <v>0</v>
      </c>
      <c r="I9" s="598">
        <f>I20</f>
        <v>0</v>
      </c>
      <c r="J9" s="598">
        <f>J20</f>
        <v>0</v>
      </c>
      <c r="K9" s="598">
        <f>K20</f>
        <v>0</v>
      </c>
      <c r="L9" s="598">
        <f>L20</f>
        <v>0</v>
      </c>
    </row>
    <row r="10" spans="1:12" ht="12.75">
      <c r="A10" s="447">
        <f t="shared" si="0"/>
        <v>4</v>
      </c>
      <c r="B10" s="595"/>
      <c r="C10" s="449" t="s">
        <v>218</v>
      </c>
      <c r="D10" s="450"/>
      <c r="E10" s="451"/>
      <c r="F10" s="452"/>
      <c r="G10" s="596">
        <v>0</v>
      </c>
      <c r="H10" s="598">
        <v>0</v>
      </c>
      <c r="I10" s="598">
        <v>0</v>
      </c>
      <c r="J10" s="597">
        <v>0</v>
      </c>
      <c r="K10" s="598">
        <v>0</v>
      </c>
      <c r="L10" s="598">
        <v>0</v>
      </c>
    </row>
    <row r="11" spans="1:12" ht="12.75">
      <c r="A11" s="447">
        <f t="shared" si="0"/>
        <v>5</v>
      </c>
      <c r="B11" s="729">
        <v>1</v>
      </c>
      <c r="C11" s="730" t="s">
        <v>377</v>
      </c>
      <c r="D11" s="731"/>
      <c r="E11" s="731"/>
      <c r="F11" s="732"/>
      <c r="G11" s="733" t="e">
        <f>SUM(G13)+#REF!</f>
        <v>#REF!</v>
      </c>
      <c r="H11" s="467">
        <f aca="true" t="shared" si="1" ref="H11:L12">H12</f>
        <v>18500</v>
      </c>
      <c r="I11" s="467">
        <f t="shared" si="1"/>
        <v>28250</v>
      </c>
      <c r="J11" s="467">
        <f t="shared" si="1"/>
        <v>18500</v>
      </c>
      <c r="K11" s="467">
        <f t="shared" si="1"/>
        <v>15500</v>
      </c>
      <c r="L11" s="467">
        <f t="shared" si="1"/>
        <v>13500</v>
      </c>
    </row>
    <row r="12" spans="1:12" s="517" customFormat="1" ht="12.75">
      <c r="A12" s="447">
        <f t="shared" si="0"/>
        <v>6</v>
      </c>
      <c r="B12" s="606"/>
      <c r="C12" s="478"/>
      <c r="D12" s="452" t="s">
        <v>215</v>
      </c>
      <c r="E12" s="479"/>
      <c r="F12" s="480"/>
      <c r="G12" s="481" t="e">
        <f>G13</f>
        <v>#REF!</v>
      </c>
      <c r="H12" s="482">
        <f t="shared" si="1"/>
        <v>18500</v>
      </c>
      <c r="I12" s="482">
        <f t="shared" si="1"/>
        <v>28250</v>
      </c>
      <c r="J12" s="482">
        <f t="shared" si="1"/>
        <v>18500</v>
      </c>
      <c r="K12" s="482">
        <f t="shared" si="1"/>
        <v>15500</v>
      </c>
      <c r="L12" s="482">
        <f t="shared" si="1"/>
        <v>13500</v>
      </c>
    </row>
    <row r="13" spans="1:12" ht="12.75">
      <c r="A13" s="447">
        <f t="shared" si="0"/>
        <v>7</v>
      </c>
      <c r="B13" s="608"/>
      <c r="C13" s="609" t="s">
        <v>378</v>
      </c>
      <c r="D13" s="519" t="s">
        <v>379</v>
      </c>
      <c r="E13" s="610"/>
      <c r="F13" s="611"/>
      <c r="G13" s="521" t="e">
        <f>SUM(#REF!)</f>
        <v>#REF!</v>
      </c>
      <c r="H13" s="489">
        <f>SUM(H14,H15,H16,H17,H18,H19)</f>
        <v>18500</v>
      </c>
      <c r="I13" s="489">
        <f>SUM(I14,I15,I16,I17,I18,I19)</f>
        <v>28250</v>
      </c>
      <c r="J13" s="489">
        <f>SUM(J14,J15,J16,J17,J18,J19)</f>
        <v>18500</v>
      </c>
      <c r="K13" s="489">
        <f>SUM(K14,K15,K16,K17,K18,K19)</f>
        <v>15500</v>
      </c>
      <c r="L13" s="489">
        <f>SUM(L14,L15,L16,L17,L18,L19)</f>
        <v>13500</v>
      </c>
    </row>
    <row r="14" spans="1:12" ht="12.75">
      <c r="A14" s="447">
        <f t="shared" si="0"/>
        <v>8</v>
      </c>
      <c r="B14" s="608"/>
      <c r="C14" s="540" t="s">
        <v>224</v>
      </c>
      <c r="D14" s="541" t="s">
        <v>251</v>
      </c>
      <c r="E14" s="498" t="s">
        <v>225</v>
      </c>
      <c r="F14" s="529"/>
      <c r="G14" s="530"/>
      <c r="H14" s="501">
        <f>výdavky!D247</f>
        <v>3000</v>
      </c>
      <c r="I14" s="501">
        <f>výdavky!E247</f>
        <v>3000</v>
      </c>
      <c r="J14" s="501">
        <f>výdavky!F247</f>
        <v>3000</v>
      </c>
      <c r="K14" s="501">
        <f>výdavky!G247</f>
        <v>3000</v>
      </c>
      <c r="L14" s="501">
        <f>výdavky!H247</f>
        <v>3000</v>
      </c>
    </row>
    <row r="15" spans="1:12" ht="12.75">
      <c r="A15" s="447"/>
      <c r="B15" s="608"/>
      <c r="C15" s="540" t="s">
        <v>226</v>
      </c>
      <c r="D15" s="541" t="s">
        <v>253</v>
      </c>
      <c r="E15" s="498" t="s">
        <v>227</v>
      </c>
      <c r="F15" s="529"/>
      <c r="G15" s="530"/>
      <c r="H15" s="501">
        <f>výdavky!D248</f>
        <v>1500</v>
      </c>
      <c r="I15" s="501">
        <f>výdavky!E248</f>
        <v>1500</v>
      </c>
      <c r="J15" s="501">
        <f>výdavky!F248</f>
        <v>1500</v>
      </c>
      <c r="K15" s="501">
        <f>výdavky!G248</f>
        <v>1500</v>
      </c>
      <c r="L15" s="501">
        <f>výdavky!H248</f>
        <v>1500</v>
      </c>
    </row>
    <row r="16" spans="1:12" ht="12.75">
      <c r="A16" s="447">
        <f>A14+1</f>
        <v>9</v>
      </c>
      <c r="B16" s="608"/>
      <c r="C16" s="540" t="s">
        <v>230</v>
      </c>
      <c r="D16" s="541" t="s">
        <v>264</v>
      </c>
      <c r="E16" s="498" t="s">
        <v>231</v>
      </c>
      <c r="F16" s="529"/>
      <c r="G16" s="530"/>
      <c r="H16" s="501">
        <f>výdavky!D249</f>
        <v>13000</v>
      </c>
      <c r="I16" s="501">
        <f>výdavky!E249</f>
        <v>22550</v>
      </c>
      <c r="J16" s="501">
        <f>výdavky!F249</f>
        <v>13000</v>
      </c>
      <c r="K16" s="501">
        <f>výdavky!G249</f>
        <v>10000</v>
      </c>
      <c r="L16" s="501">
        <f>výdavky!H249</f>
        <v>8000</v>
      </c>
    </row>
    <row r="17" spans="1:12" ht="12.75">
      <c r="A17" s="447"/>
      <c r="B17" s="608"/>
      <c r="C17" s="540" t="s">
        <v>232</v>
      </c>
      <c r="D17" s="541" t="s">
        <v>266</v>
      </c>
      <c r="E17" s="498" t="s">
        <v>233</v>
      </c>
      <c r="F17" s="529"/>
      <c r="G17" s="530"/>
      <c r="H17" s="501">
        <f>výdavky!D250</f>
        <v>100</v>
      </c>
      <c r="I17" s="501">
        <f>výdavky!E250</f>
        <v>100</v>
      </c>
      <c r="J17" s="501">
        <f>výdavky!F250</f>
        <v>100</v>
      </c>
      <c r="K17" s="501">
        <f>výdavky!G250</f>
        <v>100</v>
      </c>
      <c r="L17" s="501">
        <f>výdavky!H250</f>
        <v>100</v>
      </c>
    </row>
    <row r="18" spans="1:12" ht="12.75">
      <c r="A18" s="447">
        <f>A16+1</f>
        <v>10</v>
      </c>
      <c r="B18" s="608"/>
      <c r="C18" s="540" t="s">
        <v>236</v>
      </c>
      <c r="D18" s="541" t="s">
        <v>268</v>
      </c>
      <c r="E18" s="498" t="s">
        <v>319</v>
      </c>
      <c r="F18" s="529"/>
      <c r="G18" s="530"/>
      <c r="H18" s="501">
        <f>výdavky!D251</f>
        <v>500</v>
      </c>
      <c r="I18" s="501">
        <f>výdavky!E251</f>
        <v>500</v>
      </c>
      <c r="J18" s="501">
        <f>výdavky!F251</f>
        <v>500</v>
      </c>
      <c r="K18" s="501">
        <f>výdavky!G251</f>
        <v>500</v>
      </c>
      <c r="L18" s="501">
        <f>výdavky!H251</f>
        <v>500</v>
      </c>
    </row>
    <row r="19" spans="1:12" ht="12.75">
      <c r="A19" s="447">
        <f>A18+1</f>
        <v>11</v>
      </c>
      <c r="B19" s="608"/>
      <c r="C19" s="540" t="s">
        <v>240</v>
      </c>
      <c r="D19" s="541" t="s">
        <v>266</v>
      </c>
      <c r="E19" s="498" t="s">
        <v>241</v>
      </c>
      <c r="F19" s="529"/>
      <c r="G19" s="530"/>
      <c r="H19" s="501">
        <f>výdavky!D252</f>
        <v>400</v>
      </c>
      <c r="I19" s="501">
        <f>výdavky!E252</f>
        <v>600</v>
      </c>
      <c r="J19" s="501">
        <f>výdavky!F252</f>
        <v>400</v>
      </c>
      <c r="K19" s="501">
        <f>výdavky!G252</f>
        <v>400</v>
      </c>
      <c r="L19" s="501">
        <f>výdavky!H252</f>
        <v>400</v>
      </c>
    </row>
    <row r="20" spans="1:12" ht="12.75">
      <c r="A20" s="447">
        <v>12</v>
      </c>
      <c r="B20" s="633"/>
      <c r="C20" s="491"/>
      <c r="D20" s="451" t="s">
        <v>217</v>
      </c>
      <c r="E20" s="508"/>
      <c r="F20" s="480"/>
      <c r="G20" s="481">
        <f>G22</f>
        <v>0</v>
      </c>
      <c r="H20" s="482">
        <f>H21</f>
        <v>0</v>
      </c>
      <c r="I20" s="482">
        <f>I21</f>
        <v>0</v>
      </c>
      <c r="J20" s="482">
        <f>J21</f>
        <v>0</v>
      </c>
      <c r="K20" s="482">
        <f>K21</f>
        <v>0</v>
      </c>
      <c r="L20" s="482">
        <f>L21</f>
        <v>0</v>
      </c>
    </row>
    <row r="21" spans="1:12" ht="12.75">
      <c r="A21" s="447">
        <f>A20+1</f>
        <v>13</v>
      </c>
      <c r="B21" s="633"/>
      <c r="C21" s="562" t="s">
        <v>380</v>
      </c>
      <c r="D21" s="485" t="s">
        <v>379</v>
      </c>
      <c r="E21" s="486"/>
      <c r="F21" s="487"/>
      <c r="G21" s="488">
        <f>SUM(G22:G23)</f>
        <v>0</v>
      </c>
      <c r="H21" s="489">
        <f>H22+SUM(H22,H23)</f>
        <v>0</v>
      </c>
      <c r="I21" s="489">
        <f>I22+SUM(I22,I23)</f>
        <v>0</v>
      </c>
      <c r="J21" s="489">
        <f>J22+SUM(J22,J23)</f>
        <v>0</v>
      </c>
      <c r="K21" s="489">
        <f>K22+SUM(K22,K23)</f>
        <v>0</v>
      </c>
      <c r="L21" s="489">
        <f>L22+SUM(L22,L23)</f>
        <v>0</v>
      </c>
    </row>
    <row r="22" spans="1:12" ht="12.75">
      <c r="A22" s="447">
        <f>A21+1</f>
        <v>14</v>
      </c>
      <c r="B22" s="608"/>
      <c r="C22" s="540" t="s">
        <v>368</v>
      </c>
      <c r="D22" s="541" t="s">
        <v>268</v>
      </c>
      <c r="E22" s="637" t="s">
        <v>369</v>
      </c>
      <c r="F22" s="509"/>
      <c r="G22" s="510"/>
      <c r="H22" s="501">
        <v>0</v>
      </c>
      <c r="I22" s="501">
        <v>0</v>
      </c>
      <c r="J22" s="501">
        <v>0</v>
      </c>
      <c r="K22" s="501">
        <v>0</v>
      </c>
      <c r="L22" s="501">
        <v>0</v>
      </c>
    </row>
    <row r="23" spans="1:12" ht="12.75">
      <c r="A23" s="571">
        <f>A22+1</f>
        <v>15</v>
      </c>
      <c r="B23" s="614"/>
      <c r="C23" s="615" t="s">
        <v>370</v>
      </c>
      <c r="D23" s="734" t="s">
        <v>272</v>
      </c>
      <c r="E23" s="735" t="s">
        <v>381</v>
      </c>
      <c r="F23" s="736"/>
      <c r="G23" s="737"/>
      <c r="H23" s="738">
        <v>0</v>
      </c>
      <c r="I23" s="738">
        <v>0</v>
      </c>
      <c r="J23" s="738">
        <v>0</v>
      </c>
      <c r="K23" s="738">
        <v>0</v>
      </c>
      <c r="L23" s="738">
        <v>0</v>
      </c>
    </row>
  </sheetData>
  <mergeCells count="2">
    <mergeCell ref="G3:L3"/>
    <mergeCell ref="D4:F6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2014-01-08T07:41:25Z</cp:lastPrinted>
  <dcterms:created xsi:type="dcterms:W3CDTF">2013-12-13T08:33:52Z</dcterms:created>
  <dcterms:modified xsi:type="dcterms:W3CDTF">2014-01-08T07:55:56Z</dcterms:modified>
  <cp:category/>
  <cp:version/>
  <cp:contentType/>
  <cp:contentStatus/>
</cp:coreProperties>
</file>