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4"/>
  </bookViews>
  <sheets>
    <sheet name="príjmová časť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" sheetId="13" r:id="rId13"/>
    <sheet name="Bilancia 2013_2014" sheetId="14" r:id="rId14"/>
    <sheet name="výdavky" sheetId="15" r:id="rId15"/>
  </sheets>
  <definedNames>
    <definedName name="Excel_BuiltIn_Print_Area_1">'výdavky'!$A$1:$AT$487</definedName>
  </definedNames>
  <calcPr fullCalcOnLoad="1"/>
</workbook>
</file>

<file path=xl/sharedStrings.xml><?xml version="1.0" encoding="utf-8"?>
<sst xmlns="http://schemas.openxmlformats.org/spreadsheetml/2006/main" count="1981" uniqueCount="777">
  <si>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</si>
  <si>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</si>
  <si>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</si>
  <si>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</si>
  <si>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</si>
  <si>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</si>
  <si>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</si>
  <si>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</si>
  <si>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</si>
  <si>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</si>
  <si>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</si>
  <si>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</si>
  <si>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</si>
  <si>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</si>
  <si>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</si>
  <si>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</si>
  <si>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</si>
  <si>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</si>
  <si>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</si>
  <si>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</si>
  <si>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, ktoré sa nachádza v oblasti ohrozenia jadrovým zariadením.</t>
    </r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</si>
  <si>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</si>
  <si>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</si>
  <si>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</si>
  <si>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</si>
  <si>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</si>
  <si>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</si>
  <si>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</si>
  <si>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</si>
  <si>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</si>
  <si>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</si>
  <si>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</si>
  <si>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</si>
  <si>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</si>
  <si>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</si>
  <si>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</si>
  <si>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</si>
  <si>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</si>
  <si>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</si>
  <si>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</si>
  <si>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</si>
  <si>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</si>
  <si>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</si>
  <si>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</si>
  <si>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</si>
  <si>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</si>
  <si>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</si>
  <si>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</si>
  <si>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</si>
  <si>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</si>
  <si>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</si>
  <si>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</si>
  <si>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</si>
  <si>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</si>
  <si>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</si>
  <si>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predmetné príjmy zahŕňajú predovšetkým príjmy z dobropisov, vratiek zo zúčtovania za rok 2012, dividendy, výťažky z lotérií</t>
  </si>
  <si>
    <t>3. Granty a transfery</t>
  </si>
  <si>
    <t>Predpokladané príjmy z tuzemských grantov a dotácií budú realizované v roku 2014 v nasledujúcej štruktúre</t>
  </si>
  <si>
    <t>3.1</t>
  </si>
  <si>
    <t>Dotácia na základné vzdelanie s bežnou starostlivosťou</t>
  </si>
  <si>
    <t>3.2</t>
  </si>
  <si>
    <t>Dotácia na 5% zvýšenie platov</t>
  </si>
  <si>
    <t>3.3</t>
  </si>
  <si>
    <t>Dotácia na predškolskú výchovu</t>
  </si>
  <si>
    <t>3.4</t>
  </si>
  <si>
    <t>Dotácia na matričnú činnosť</t>
  </si>
  <si>
    <t>3.5</t>
  </si>
  <si>
    <t>Dotácia na podporu zamestnanosti (aktivačná činnosť)</t>
  </si>
  <si>
    <t>3.6</t>
  </si>
  <si>
    <t>Dotácia na deti zo sociálne znevýhodneného prostredia</t>
  </si>
  <si>
    <t>3.7</t>
  </si>
  <si>
    <t>Dotácia na dopravné</t>
  </si>
  <si>
    <t>3.8</t>
  </si>
  <si>
    <t>Dotácia na vzdelávacie poukazy</t>
  </si>
  <si>
    <t>3.9</t>
  </si>
  <si>
    <t>Dotácia na školské potreby</t>
  </si>
  <si>
    <t>3.10</t>
  </si>
  <si>
    <t>Transfer na osobitného príjemcu</t>
  </si>
  <si>
    <t>3.11</t>
  </si>
  <si>
    <t>Transfer na deti v hmotnej núdzi (stravovanie)</t>
  </si>
  <si>
    <t>3.12</t>
  </si>
  <si>
    <t>dotácia - zberný dvor</t>
  </si>
  <si>
    <t>3.13</t>
  </si>
  <si>
    <t>Dotácia na projekt ZŠ (MPC)</t>
  </si>
  <si>
    <t>3.14</t>
  </si>
  <si>
    <t>Dotácia na vzdelávanie detí z MRK</t>
  </si>
  <si>
    <t>dotácia na voľby</t>
  </si>
  <si>
    <t>3.15</t>
  </si>
  <si>
    <t>Dotácia z FSR - TSP</t>
  </si>
  <si>
    <t>Kapitálové príjmy</t>
  </si>
  <si>
    <t>1. Nedaňové príjmy</t>
  </si>
  <si>
    <t>Príjem z predaja budov</t>
  </si>
  <si>
    <t>2. Granty a transfery</t>
  </si>
  <si>
    <t>Zateplenie MŠ</t>
  </si>
  <si>
    <t>Odvodnenie Dukelskej ulice</t>
  </si>
  <si>
    <t>Leader</t>
  </si>
  <si>
    <t>Rozšírenie kamerového systému</t>
  </si>
  <si>
    <t>Rekonštrukcia základnej školy</t>
  </si>
  <si>
    <t>Výstavba zberného dvora</t>
  </si>
  <si>
    <t>Rekonštrukcia komunitného centra</t>
  </si>
  <si>
    <t>vratky</t>
  </si>
  <si>
    <t>Príjmové finančné operácie</t>
  </si>
  <si>
    <t>Bankové úvery dlhodobé</t>
  </si>
  <si>
    <t>Rekapitulácia</t>
  </si>
  <si>
    <t>Vlastné príjmy RO s PS</t>
  </si>
  <si>
    <t>Celkové príjmy</t>
  </si>
  <si>
    <t>Príjmy rozpočtu obce Tekovské Lužany</t>
  </si>
  <si>
    <t>daňové príjmy</t>
  </si>
  <si>
    <t>P 6_2014</t>
  </si>
  <si>
    <t>I. úprava</t>
  </si>
  <si>
    <t>II. úprava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</si>
  <si>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</si>
  <si>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</si>
  <si>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</si>
  <si>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</si>
  <si>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</si>
  <si>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</si>
  <si>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</si>
  <si>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</si>
  <si>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</si>
  <si>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</si>
  <si>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</si>
  <si>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v tom: Daň za psa-minulé roky</t>
  </si>
  <si>
    <t>012.</t>
  </si>
  <si>
    <t>013.</t>
  </si>
  <si>
    <t xml:space="preserve">Daň za komunálny odpad </t>
  </si>
  <si>
    <t>v tom: Daň za komunálny odpad-minulé roky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</si>
  <si>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</si>
  <si>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</si>
  <si>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</si>
  <si>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</si>
  <si>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</si>
  <si>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</si>
  <si>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</si>
  <si>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</si>
  <si>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</si>
  <si>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</si>
  <si>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</si>
  <si>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</si>
  <si>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</si>
  <si>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Náhrada škody T a M</t>
  </si>
  <si>
    <t>Za MŠ, školský klub detí</t>
  </si>
  <si>
    <t>Za stravné /MŠ/</t>
  </si>
  <si>
    <t>Za stravné /OcÚ/</t>
  </si>
  <si>
    <t>Za stravné /ZŠ/</t>
  </si>
  <si>
    <t>005.</t>
  </si>
  <si>
    <t>za znečisťovanie ovzdušia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</si>
  <si>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</si>
  <si>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</si>
  <si>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</si>
  <si>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</si>
  <si>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</si>
  <si>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</si>
  <si>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</si>
  <si>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</si>
  <si>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</si>
  <si>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</si>
  <si>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</si>
  <si>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</si>
  <si>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</si>
  <si>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</si>
  <si>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</si>
  <si>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</si>
  <si>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zo ŠR MF - 5% zvýšenie platov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</si>
  <si>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</si>
  <si>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</si>
  <si>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</si>
  <si>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</si>
  <si>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</si>
  <si>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</si>
  <si>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Transfer na osobitného príjemcu-RP</t>
  </si>
  <si>
    <t>Transfer na osobitného príjemcu - Jurík J.</t>
  </si>
  <si>
    <t>Transfer na osobitného príjemcu-Lakatoš Ľ.</t>
  </si>
  <si>
    <t>Transfer na osobitného príjemcu HN</t>
  </si>
  <si>
    <t>Dotácia na opravu PK</t>
  </si>
  <si>
    <t>Dotácia na stravovanie detí v HN</t>
  </si>
  <si>
    <t>Dotácia na vzdelávanie MPC</t>
  </si>
  <si>
    <t>Dotácia na vzdelávanie MRK</t>
  </si>
  <si>
    <t>Dotácia - zberný dvor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</si>
  <si>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</si>
  <si>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</si>
  <si>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</si>
  <si>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</si>
  <si>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</si>
  <si>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</si>
  <si>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</si>
  <si>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</si>
  <si>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</si>
  <si>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Envirofond (MŠ)</t>
  </si>
  <si>
    <t>Envirofond (odvodnenie)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</si>
  <si>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</si>
  <si>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</si>
  <si>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</si>
  <si>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</si>
  <si>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</si>
  <si>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(vzdelávanie MRK)</t>
  </si>
  <si>
    <t>ÚV SR (komunitné centrum)</t>
  </si>
  <si>
    <t>z vratiek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</si>
  <si>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</si>
  <si>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</si>
  <si>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</si>
  <si>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</si>
  <si>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</si>
  <si>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</si>
  <si>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</si>
  <si>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Ostatné úvery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</si>
  <si>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</si>
  <si>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</si>
  <si>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</si>
  <si>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</si>
  <si>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</si>
  <si>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</si>
  <si>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</si>
  <si>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</si>
  <si>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</si>
  <si>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</si>
  <si>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</si>
  <si>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</si>
  <si>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</si>
  <si>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I.úprava</t>
  </si>
  <si>
    <t>II.úprava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</si>
  <si>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</si>
  <si>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</si>
  <si>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</si>
  <si>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</si>
  <si>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</si>
  <si>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</si>
  <si>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</si>
  <si>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</si>
  <si>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</si>
  <si>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</si>
  <si>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</si>
  <si>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</si>
  <si>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</si>
  <si>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</si>
  <si>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</si>
  <si>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</si>
  <si>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</si>
  <si>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</si>
  <si>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</si>
  <si>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</si>
  <si>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</si>
  <si>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</si>
  <si>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</si>
  <si>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</si>
  <si>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</si>
  <si>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</si>
  <si>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</si>
  <si>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</si>
  <si>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</si>
  <si>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</si>
  <si>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</si>
  <si>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</si>
  <si>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</si>
  <si>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</si>
  <si>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</si>
  <si>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</si>
  <si>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</si>
  <si>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</si>
  <si>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</si>
  <si>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</si>
  <si>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</si>
  <si>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- voľby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</si>
  <si>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</si>
  <si>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</si>
  <si>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</si>
  <si>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</si>
  <si>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</si>
  <si>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</si>
  <si>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občianskym združeniam a nezisk. Organizáciám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</si>
  <si>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</si>
  <si>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</si>
  <si>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</si>
  <si>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</si>
  <si>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</si>
  <si>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</si>
  <si>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</si>
  <si>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</si>
  <si>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</si>
  <si>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</si>
  <si>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</si>
  <si>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</si>
  <si>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službyposkytnuté v rámci ROP</t>
  </si>
  <si>
    <t>5</t>
  </si>
  <si>
    <t>Provízie za poskytnutie úveru</t>
  </si>
  <si>
    <t>FINANČNÉ OPERÁCIE VÝDAVKOVÉ SPOLU:</t>
  </si>
  <si>
    <t>824</t>
  </si>
  <si>
    <t>6</t>
  </si>
  <si>
    <t>Splatenie finančného prenájmu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</si>
  <si>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</si>
  <si>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</si>
  <si>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</si>
  <si>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</si>
  <si>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</si>
  <si>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</si>
  <si>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</si>
  <si>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</si>
  <si>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</si>
  <si>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</si>
  <si>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Údržba</t>
  </si>
  <si>
    <t>Voľby a referendá</t>
  </si>
  <si>
    <t>01.8.0</t>
  </si>
  <si>
    <t xml:space="preserve">Všeobecné verejné služby inde neklasifikované    </t>
  </si>
  <si>
    <t>voľby</t>
  </si>
  <si>
    <t>Sčítanie obyvateľov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</si>
  <si>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</si>
  <si>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</si>
  <si>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</si>
  <si>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</si>
  <si>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</si>
  <si>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</si>
  <si>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</si>
  <si>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</si>
  <si>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</si>
  <si>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</si>
  <si>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</si>
  <si>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</si>
  <si>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</si>
  <si>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</si>
  <si>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</si>
  <si>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</si>
  <si>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</si>
  <si>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</si>
  <si>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odmeny na základe dohôd</t>
  </si>
  <si>
    <t>10</t>
  </si>
  <si>
    <t>Transfery (členské)</t>
  </si>
  <si>
    <t>Monitorovací kamerový systém</t>
  </si>
  <si>
    <t>713</t>
  </si>
  <si>
    <t>11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</si>
  <si>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</si>
  <si>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</si>
  <si>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</si>
  <si>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</si>
  <si>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</si>
  <si>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</si>
  <si>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</si>
  <si>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Príspevok DHZ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</si>
  <si>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</si>
  <si>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</si>
  <si>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</si>
  <si>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</si>
  <si>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</si>
  <si>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</si>
  <si>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</si>
  <si>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</si>
  <si>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</si>
  <si>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</si>
  <si>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</si>
  <si>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</si>
  <si>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>Odvodnenie MK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</si>
  <si>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</si>
  <si>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</si>
  <si>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</si>
  <si>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</si>
  <si>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</si>
  <si>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</si>
  <si>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</si>
  <si>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</si>
  <si>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</si>
  <si>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</si>
  <si>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</si>
  <si>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</si>
  <si>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</si>
  <si>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</si>
  <si>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</si>
  <si>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</si>
  <si>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</si>
  <si>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propagácia - zberný dvor</t>
  </si>
  <si>
    <t>05.1.0</t>
  </si>
  <si>
    <t>Zavedenie separácie biologicky rozložiteľných odpadov</t>
  </si>
  <si>
    <t>projektová dokumentácia</t>
  </si>
  <si>
    <t>Nakladanie s odpadovými vodami</t>
  </si>
  <si>
    <t>05.2.0.</t>
  </si>
  <si>
    <t>odchodné, nemocenské dávky</t>
  </si>
  <si>
    <t>Služby - servis</t>
  </si>
  <si>
    <t>Ochrana životného prostredia</t>
  </si>
  <si>
    <t>05.6.0</t>
  </si>
  <si>
    <t>Materiál - povodeň</t>
  </si>
  <si>
    <t>Špeciálne služby</t>
  </si>
  <si>
    <t>PROGRAM 6</t>
  </si>
  <si>
    <t>OBČIANSKA VYBAVENOSŤ</t>
  </si>
  <si>
    <t>Rozvoj obce</t>
  </si>
  <si>
    <t>06.2.0.</t>
  </si>
  <si>
    <t>Služby - ŠR</t>
  </si>
  <si>
    <t>716</t>
  </si>
  <si>
    <t>Projektová dokumentácia</t>
  </si>
  <si>
    <t>717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</si>
  <si>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</si>
  <si>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</si>
  <si>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</si>
  <si>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</si>
  <si>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</si>
  <si>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</si>
  <si>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</si>
  <si>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</si>
  <si>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</si>
  <si>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</si>
  <si>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</si>
  <si>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</si>
  <si>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</si>
  <si>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</si>
  <si>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</si>
  <si>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</si>
  <si>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</si>
  <si>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</si>
  <si>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</si>
  <si>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</si>
  <si>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</si>
  <si>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</si>
  <si>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</si>
  <si>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</si>
  <si>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</si>
  <si>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</si>
  <si>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</si>
  <si>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prev.stroje, prístroje, zariadenia</t>
  </si>
  <si>
    <t>Reprezentačné</t>
  </si>
  <si>
    <t>posedenie s dôchodcami</t>
  </si>
  <si>
    <t>pamätník</t>
  </si>
  <si>
    <t>Knižničné služby</t>
  </si>
  <si>
    <t>08.2.0.5</t>
  </si>
  <si>
    <t>Knižnica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</si>
  <si>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</si>
  <si>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</si>
  <si>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</si>
  <si>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</si>
  <si>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</si>
  <si>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</si>
  <si>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</si>
  <si>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</si>
  <si>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</si>
  <si>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</si>
  <si>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</si>
  <si>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</si>
  <si>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</si>
  <si>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</si>
  <si>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</si>
  <si>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</si>
  <si>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</si>
  <si>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</si>
  <si>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</si>
  <si>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</si>
  <si>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</si>
  <si>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</si>
  <si>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</si>
  <si>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</si>
  <si>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tovary a služby z účtu obce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</si>
  <si>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</si>
  <si>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</si>
  <si>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</si>
  <si>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</si>
  <si>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</si>
  <si>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</si>
  <si>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</si>
  <si>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</si>
  <si>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vlastné zdroje ZŠ s VJM</t>
  </si>
  <si>
    <t>dotácia na dopravné</t>
  </si>
  <si>
    <t>dotácie pre deti zo sociálne znevýhodneného prostredia</t>
  </si>
  <si>
    <t>dotácia na školské potreby</t>
  </si>
  <si>
    <t>dotácia na vzdelávacie poukazy</t>
  </si>
  <si>
    <t>vzdelávanie MRK</t>
  </si>
  <si>
    <t>vzdelávanie MPC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</si>
  <si>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</si>
  <si>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</si>
  <si>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</si>
  <si>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</si>
  <si>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</si>
  <si>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</si>
  <si>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</si>
  <si>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</si>
  <si>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</si>
  <si>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</si>
  <si>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</si>
  <si>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</si>
  <si>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</si>
  <si>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</si>
  <si>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nenávratná dávka v HN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</si>
  <si>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</si>
  <si>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</si>
  <si>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</si>
  <si>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</si>
  <si>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</si>
  <si>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</si>
  <si>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</si>
  <si>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</si>
  <si>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</si>
  <si>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</si>
  <si>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</si>
  <si>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 - RP</t>
  </si>
  <si>
    <t>Príspevok na osobitného príjemcu - HN</t>
  </si>
  <si>
    <t>BILANCIA PROGRAMOVÉHO ROZPOČTU OBCE TEKOVSKÉ LUŽANY</t>
  </si>
  <si>
    <t>CELKOVÁ BILANCIA ROZPOČTU</t>
  </si>
  <si>
    <t xml:space="preserve">Rok </t>
  </si>
  <si>
    <t>rozdiel</t>
  </si>
  <si>
    <t>v %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</si>
  <si>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</si>
  <si>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</si>
  <si>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</si>
  <si>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</si>
  <si>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</si>
  <si>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</si>
  <si>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</si>
  <si>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</si>
  <si>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</si>
  <si>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</si>
  <si>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Výdavkové finančné operácie</t>
  </si>
  <si>
    <t>Rozpočtové zdroje</t>
  </si>
  <si>
    <t>Rozpočtové výdavky</t>
  </si>
  <si>
    <t>BILANCIA PROGRAMOVÉHO ROZPOČTU ZA ROKY 2013 - 2014</t>
  </si>
  <si>
    <t>€</t>
  </si>
  <si>
    <t>%</t>
  </si>
  <si>
    <t>Program 1:</t>
  </si>
  <si>
    <t>Plánovanie, manažment a kontrola</t>
  </si>
  <si>
    <t>bežné výdavky</t>
  </si>
  <si>
    <t>kapitálové výdavky</t>
  </si>
  <si>
    <t>finančné operácie</t>
  </si>
  <si>
    <t>Program 2:</t>
  </si>
  <si>
    <t>Ochrana obyvateľstva</t>
  </si>
  <si>
    <t>Program 3:</t>
  </si>
  <si>
    <t>Bezpečnosť, právo a poriadok</t>
  </si>
  <si>
    <t>Program 4:</t>
  </si>
  <si>
    <t>Prostredie pre život</t>
  </si>
  <si>
    <t>Program 5:</t>
  </si>
  <si>
    <t>Odpadové hospodárstvo</t>
  </si>
  <si>
    <t>Program 6:</t>
  </si>
  <si>
    <t>Občianska vybavenosť</t>
  </si>
  <si>
    <t>Program 7:</t>
  </si>
  <si>
    <t>Zdravotná starostlivosť</t>
  </si>
  <si>
    <t>Program 8:</t>
  </si>
  <si>
    <t>Šport a kultúra</t>
  </si>
  <si>
    <t>Program 9:</t>
  </si>
  <si>
    <t>Vzdelávanie</t>
  </si>
  <si>
    <t>Program 10:</t>
  </si>
  <si>
    <t>Sociálne služby</t>
  </si>
  <si>
    <t>Sumarizácia</t>
  </si>
  <si>
    <t>výdavky celkom</t>
  </si>
  <si>
    <t>Výdavky rozpočtu obce Tekovské Lužany</t>
  </si>
  <si>
    <t>01 všeobecné verejné služby</t>
  </si>
  <si>
    <t>01.1.1 Výdavky verejnej správy</t>
  </si>
  <si>
    <t>Mzdy, platy, sl.príjmy a ost.os.vyrovnania</t>
  </si>
  <si>
    <t>Mzdy -  voľby</t>
  </si>
  <si>
    <t xml:space="preserve">poistné  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</si>
  <si>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</si>
  <si>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</si>
  <si>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</si>
  <si>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</si>
  <si>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</si>
  <si>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</si>
  <si>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</si>
  <si>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</si>
  <si>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</si>
  <si>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</si>
  <si>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</si>
  <si>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</si>
  <si>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</si>
  <si>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</si>
  <si>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</si>
  <si>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</si>
  <si>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</si>
  <si>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</si>
  <si>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</si>
  <si>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</si>
  <si>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</si>
  <si>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</si>
  <si>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</si>
  <si>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</si>
  <si>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</si>
  <si>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</si>
  <si>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</si>
  <si>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</si>
  <si>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</si>
  <si>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</si>
  <si>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</si>
  <si>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</si>
  <si>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</si>
  <si>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</si>
  <si>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</si>
  <si>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</si>
  <si>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</si>
  <si>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</si>
  <si>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</si>
  <si>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</si>
  <si>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</si>
  <si>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</si>
  <si>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</si>
  <si>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</si>
  <si>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</si>
  <si>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</si>
  <si>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</si>
  <si>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</si>
  <si>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</si>
  <si>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</si>
  <si>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</si>
  <si>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</si>
  <si>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</si>
  <si>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</si>
  <si>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</si>
  <si>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občianskym združeniam</t>
  </si>
  <si>
    <t>neziskovým organizáciám</t>
  </si>
  <si>
    <t>na členské príspevky</t>
  </si>
  <si>
    <t>splácanie úrokov banke - úver</t>
  </si>
  <si>
    <t>provízie</t>
  </si>
  <si>
    <t>01.1.2 Finančná a rozpočtová oblasť</t>
  </si>
  <si>
    <t>026.</t>
  </si>
  <si>
    <t>odmeny na základe dohôd-pre čl.zast.</t>
  </si>
  <si>
    <t>Služby - audit</t>
  </si>
  <si>
    <t>01.3.3 Iné všeobecné služby /matrika/</t>
  </si>
  <si>
    <t xml:space="preserve"> v tom: mzdy - zdroj ŠR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</si>
  <si>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</si>
  <si>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</si>
  <si>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</si>
  <si>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</si>
  <si>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</si>
  <si>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</si>
  <si>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</si>
  <si>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</si>
  <si>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</si>
  <si>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</si>
  <si>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</si>
  <si>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</si>
  <si>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Interiérové vybavenie</t>
  </si>
  <si>
    <t>Výpočtová technika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</si>
  <si>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</si>
  <si>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</si>
  <si>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</si>
  <si>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</si>
  <si>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</si>
  <si>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</si>
  <si>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</si>
  <si>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</si>
  <si>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Odmeny na základe dohôd</t>
  </si>
  <si>
    <t>03.2.0 Požiarna ochrana</t>
  </si>
  <si>
    <t>Prevádzkové stroje,prístroje, zariad.</t>
  </si>
  <si>
    <t>02.</t>
  </si>
  <si>
    <t>príspevok 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</si>
  <si>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</si>
  <si>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</si>
  <si>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</si>
  <si>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</si>
  <si>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</si>
  <si>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</si>
  <si>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</si>
  <si>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Služby,školenia,poistenie</t>
  </si>
  <si>
    <t>odstupné</t>
  </si>
  <si>
    <t>04.1.2 Všeobecno - pracovná oblasť /aktivačná činnosť/</t>
  </si>
  <si>
    <t>mzdy - zdroj ŠR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</si>
  <si>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</si>
  <si>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</si>
  <si>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</si>
  <si>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</si>
  <si>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</si>
  <si>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</si>
  <si>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</si>
  <si>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</si>
  <si>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</si>
  <si>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</si>
  <si>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</si>
  <si>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propagácia -zberný dvor</t>
  </si>
  <si>
    <t>05.2.0 Nakladanie s odpadovými vodami</t>
  </si>
  <si>
    <t>Dopravné, servis</t>
  </si>
  <si>
    <t>Servis a údržba</t>
  </si>
  <si>
    <t xml:space="preserve">Poistné  </t>
  </si>
  <si>
    <t>odchodné</t>
  </si>
  <si>
    <t>nemocenské dávky</t>
  </si>
  <si>
    <t>05.6.0 Ochrana životného prostredia</t>
  </si>
  <si>
    <t>materiál - povodeň</t>
  </si>
  <si>
    <t>05</t>
  </si>
  <si>
    <t>06 občianska vybavenosť</t>
  </si>
  <si>
    <t>06.2.0 Rozvoj obce</t>
  </si>
  <si>
    <t>poistné - centrum obce</t>
  </si>
  <si>
    <t>06.4.0 Verejné osvetlenie</t>
  </si>
  <si>
    <t>06</t>
  </si>
  <si>
    <t>07 zdravotníctvo</t>
  </si>
  <si>
    <t>P 6_2013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</si>
  <si>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</si>
  <si>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</si>
  <si>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</si>
  <si>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</si>
  <si>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</si>
  <si>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</si>
  <si>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>Prepravné,PHM do kos.</t>
  </si>
  <si>
    <t>Odmeny - tréneri</t>
  </si>
  <si>
    <t xml:space="preserve">Transfery  </t>
  </si>
  <si>
    <t>v tom: TJ Družstevník</t>
  </si>
  <si>
    <t>STK</t>
  </si>
  <si>
    <t>iné športové aktivity</t>
  </si>
  <si>
    <t>08.2.0 Kultúrne služby</t>
  </si>
  <si>
    <t>prevádzkové stroje, prístr., zariadenia</t>
  </si>
  <si>
    <t xml:space="preserve"> Materiál</t>
  </si>
  <si>
    <t>Reprezentačné-ob.slávnosti</t>
  </si>
  <si>
    <t>mažoretky</t>
  </si>
  <si>
    <t>v tom: prepravné</t>
  </si>
  <si>
    <t>Nájomné prev. strojov</t>
  </si>
  <si>
    <t>Všeobecné služby-obecné slávnosti</t>
  </si>
  <si>
    <t>Všeobecné služby - posed. s dôch.</t>
  </si>
  <si>
    <t>na odstupné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</si>
  <si>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</si>
  <si>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</si>
  <si>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</si>
  <si>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</si>
  <si>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</si>
  <si>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</si>
  <si>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</si>
  <si>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</si>
  <si>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</si>
  <si>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</si>
  <si>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</si>
  <si>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</si>
  <si>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</si>
  <si>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5% navýšenie platu</t>
  </si>
  <si>
    <t>630,640,</t>
  </si>
  <si>
    <t>predškolský vek</t>
  </si>
  <si>
    <t>Tovary a služby- z účtu OÚ</t>
  </si>
  <si>
    <t>ZŠS</t>
  </si>
  <si>
    <t>Tovary a služby (potraviny)</t>
  </si>
  <si>
    <t>v tom: tovary a služby</t>
  </si>
  <si>
    <t>09.1.2.1 Základné vzdelanie s bežnou starostlivosťou</t>
  </si>
  <si>
    <t>Tovary a služby-z účtu OcÚ</t>
  </si>
  <si>
    <t>09.1.2.2</t>
  </si>
  <si>
    <t>vlastné zdroje ZŠ VJM</t>
  </si>
  <si>
    <t>dotácie a príspevky</t>
  </si>
  <si>
    <t>v tom: dopravné</t>
  </si>
  <si>
    <t>dotácia pre deti zo soc.znevýh.prostredia</t>
  </si>
  <si>
    <t>školské potreby - z rozpočtu obce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</si>
  <si>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</si>
  <si>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</si>
  <si>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</si>
  <si>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</si>
  <si>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</si>
  <si>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</si>
  <si>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</si>
  <si>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</si>
  <si>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</si>
  <si>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</si>
  <si>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</si>
  <si>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</si>
  <si>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</si>
  <si>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</si>
  <si>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</si>
  <si>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mzdy, platy a odvody</t>
  </si>
  <si>
    <t>Opatrovateľská služba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</si>
  <si>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</si>
  <si>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</si>
  <si>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</si>
  <si>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</si>
  <si>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</si>
  <si>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</si>
  <si>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príjemca-RP</t>
  </si>
  <si>
    <t>osobitný príjemca - HN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</si>
  <si>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</si>
  <si>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</si>
  <si>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</si>
  <si>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</si>
  <si>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</si>
  <si>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t>Rekonštrukcia ciest, chodníkov</t>
  </si>
  <si>
    <r>
      <t>05.</t>
    </r>
    <r>
      <rPr>
        <b/>
        <i/>
        <sz val="8"/>
        <rFont val="Arial CE"/>
        <family val="2"/>
      </rPr>
      <t>2.0 Nakladanie s odpadovými vodami</t>
    </r>
  </si>
  <si>
    <t>Zberný dvor</t>
  </si>
  <si>
    <t>06.2.0 Rozvoj obcí</t>
  </si>
  <si>
    <t>Rekonštrukcia parku</t>
  </si>
  <si>
    <t>Výstavba centra obce</t>
  </si>
  <si>
    <t>rekonštrukcia VO</t>
  </si>
  <si>
    <t>Rekonštrukcia autobusových zastávok</t>
  </si>
  <si>
    <t>Pamätník</t>
  </si>
  <si>
    <t>Prípravná a projektová dokumentácia</t>
  </si>
  <si>
    <t>Realizácia stavieb</t>
  </si>
  <si>
    <t>Rekonštrukcia a modernizácia</t>
  </si>
  <si>
    <t>v tom:Rekonštrukcia a modernizácia-EÚ</t>
  </si>
  <si>
    <t>10.4 Sociálne zabezpečenie</t>
  </si>
  <si>
    <t>Kapitálové výdavky spolu:</t>
  </si>
  <si>
    <t>Výdavkové finančné oprácie</t>
  </si>
  <si>
    <t>Splácanie finančného prenájmu</t>
  </si>
  <si>
    <t>Splácanie istiny z bankových úverov</t>
  </si>
  <si>
    <t>Výdavkové finančné operácie spolu:</t>
  </si>
  <si>
    <t>Bežné výdavky spolu</t>
  </si>
  <si>
    <t>Kapitálové výdavky spolu</t>
  </si>
  <si>
    <t>Rozpočtové výdavky spolu</t>
  </si>
  <si>
    <t>13</t>
  </si>
  <si>
    <t>autobusové zastávky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</si>
</sst>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,_S_k_-;\-* #,##0.00,_S_k_-;_-* \-??\ _S_k_-;_-@_-"/>
    <numFmt numFmtId="173" formatCode="_-* #,##0.00&quot; €&quot;_-;\-* #,##0.00&quot; €&quot;_-;_-* \-??&quot; €&quot;_-;_-@_-"/>
    <numFmt numFmtId="174" formatCode="#,##0.0"/>
    <numFmt numFmtId="175" formatCode="0.0"/>
    <numFmt numFmtId="176" formatCode="dd/mm/yyyy"/>
    <numFmt numFmtId="177" formatCode="#,##0;\-#,##0"/>
    <numFmt numFmtId="178" formatCode="#,##0.00;\-#,##0.00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10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0"/>
      <color indexed="17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5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8"/>
      <color indexed="57"/>
      <name val="Arial CE"/>
      <family val="2"/>
    </font>
    <font>
      <b/>
      <i/>
      <sz val="10"/>
      <color indexed="57"/>
      <name val="Arial CE"/>
      <family val="2"/>
    </font>
    <font>
      <sz val="8"/>
      <color indexed="17"/>
      <name val="Arial CE"/>
      <family val="2"/>
    </font>
    <font>
      <i/>
      <sz val="10"/>
      <color indexed="12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color rgb="FFFF0000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5" fillId="0" borderId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Border="0" applyAlignment="0" applyProtection="0"/>
    <xf numFmtId="0" fontId="0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4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6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3" fontId="26" fillId="7" borderId="0" xfId="0" applyNumberFormat="1" applyFont="1" applyFill="1" applyAlignment="1" applyProtection="1">
      <alignment horizontal="right"/>
      <protection locked="0"/>
    </xf>
    <xf numFmtId="0" fontId="25" fillId="0" borderId="0" xfId="0" applyFont="1" applyAlignment="1">
      <alignment horizontal="center"/>
    </xf>
    <xf numFmtId="49" fontId="29" fillId="15" borderId="13" xfId="0" applyNumberFormat="1" applyFont="1" applyFill="1" applyBorder="1" applyAlignment="1">
      <alignment horizontal="center"/>
    </xf>
    <xf numFmtId="49" fontId="29" fillId="15" borderId="14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 horizontal="right" vertical="center"/>
    </xf>
    <xf numFmtId="49" fontId="28" fillId="0" borderId="16" xfId="0" applyNumberFormat="1" applyFont="1" applyBorder="1" applyAlignment="1">
      <alignment horizontal="right" vertical="center"/>
    </xf>
    <xf numFmtId="3" fontId="0" fillId="15" borderId="15" xfId="0" applyNumberFormat="1" applyFont="1" applyFill="1" applyBorder="1" applyAlignment="1">
      <alignment horizontal="right"/>
    </xf>
    <xf numFmtId="0" fontId="29" fillId="0" borderId="16" xfId="0" applyFont="1" applyBorder="1" applyAlignment="1">
      <alignment vertical="top"/>
    </xf>
    <xf numFmtId="49" fontId="0" fillId="0" borderId="16" xfId="0" applyNumberFormat="1" applyBorder="1" applyAlignment="1">
      <alignment horizontal="righ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6" fillId="7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29" fillId="15" borderId="15" xfId="0" applyNumberFormat="1" applyFont="1" applyFill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49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3" fontId="29" fillId="0" borderId="15" xfId="0" applyNumberFormat="1" applyFont="1" applyBorder="1" applyAlignment="1">
      <alignment horizontal="right"/>
    </xf>
    <xf numFmtId="3" fontId="29" fillId="0" borderId="19" xfId="0" applyNumberFormat="1" applyFont="1" applyBorder="1" applyAlignment="1">
      <alignment horizontal="right"/>
    </xf>
    <xf numFmtId="49" fontId="29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/>
    </xf>
    <xf numFmtId="49" fontId="29" fillId="0" borderId="2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18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7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3" fontId="25" fillId="7" borderId="0" xfId="0" applyNumberFormat="1" applyFont="1" applyFill="1" applyAlignment="1">
      <alignment horizontal="right"/>
    </xf>
    <xf numFmtId="3" fontId="25" fillId="3" borderId="0" xfId="0" applyNumberFormat="1" applyFont="1" applyFill="1" applyAlignment="1">
      <alignment horizontal="right"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5" fillId="0" borderId="0" xfId="586" applyFont="1" applyBorder="1">
      <alignment/>
      <protection/>
    </xf>
    <xf numFmtId="0" fontId="32" fillId="0" borderId="0" xfId="586" applyFont="1" applyBorder="1">
      <alignment/>
      <protection/>
    </xf>
    <xf numFmtId="2" fontId="5" fillId="0" borderId="0" xfId="586" applyNumberFormat="1" applyFont="1" applyBorder="1" applyAlignment="1">
      <alignment horizontal="center"/>
      <protection/>
    </xf>
    <xf numFmtId="3" fontId="5" fillId="0" borderId="0" xfId="586" applyNumberFormat="1" applyFont="1" applyBorder="1">
      <alignment/>
      <protection/>
    </xf>
    <xf numFmtId="0" fontId="5" fillId="0" borderId="0" xfId="586" applyFont="1" applyFill="1" applyBorder="1">
      <alignment/>
      <protection/>
    </xf>
    <xf numFmtId="4" fontId="5" fillId="0" borderId="0" xfId="586" applyNumberFormat="1" applyFont="1" applyFill="1" applyBorder="1">
      <alignment/>
      <protection/>
    </xf>
    <xf numFmtId="0" fontId="33" fillId="0" borderId="0" xfId="586" applyFont="1" applyFill="1" applyBorder="1" applyAlignment="1">
      <alignment/>
      <protection/>
    </xf>
    <xf numFmtId="0" fontId="33" fillId="3" borderId="0" xfId="586" applyFont="1" applyFill="1" applyBorder="1">
      <alignment/>
      <protection/>
    </xf>
    <xf numFmtId="0" fontId="33" fillId="0" borderId="0" xfId="586" applyFont="1" applyBorder="1" applyAlignment="1">
      <alignment horizontal="center"/>
      <protection/>
    </xf>
    <xf numFmtId="0" fontId="32" fillId="0" borderId="0" xfId="586" applyFont="1" applyBorder="1" applyAlignment="1">
      <alignment horizontal="center"/>
      <protection/>
    </xf>
    <xf numFmtId="2" fontId="33" fillId="0" borderId="0" xfId="586" applyNumberFormat="1" applyFont="1" applyFill="1" applyBorder="1" applyAlignment="1">
      <alignment/>
      <protection/>
    </xf>
    <xf numFmtId="2" fontId="33" fillId="0" borderId="0" xfId="586" applyNumberFormat="1" applyFont="1" applyFill="1" applyBorder="1" applyAlignment="1">
      <alignment horizontal="center"/>
      <protection/>
    </xf>
    <xf numFmtId="3" fontId="33" fillId="0" borderId="0" xfId="586" applyNumberFormat="1" applyFont="1" applyFill="1" applyBorder="1" applyAlignment="1">
      <alignment horizontal="center"/>
      <protection/>
    </xf>
    <xf numFmtId="4" fontId="33" fillId="0" borderId="0" xfId="586" applyNumberFormat="1" applyFont="1" applyFill="1" applyBorder="1" applyAlignment="1">
      <alignment horizontal="center"/>
      <protection/>
    </xf>
    <xf numFmtId="0" fontId="32" fillId="7" borderId="13" xfId="586" applyFont="1" applyFill="1" applyBorder="1">
      <alignment/>
      <protection/>
    </xf>
    <xf numFmtId="0" fontId="33" fillId="7" borderId="14" xfId="586" applyFont="1" applyFill="1" applyBorder="1" applyAlignment="1">
      <alignment vertical="top"/>
      <protection/>
    </xf>
    <xf numFmtId="0" fontId="33" fillId="7" borderId="22" xfId="586" applyFont="1" applyFill="1" applyBorder="1" applyAlignment="1">
      <alignment horizontal="center"/>
      <protection/>
    </xf>
    <xf numFmtId="0" fontId="32" fillId="7" borderId="15" xfId="586" applyFont="1" applyFill="1" applyBorder="1" applyAlignment="1">
      <alignment horizontal="justify" vertical="center"/>
      <protection/>
    </xf>
    <xf numFmtId="0" fontId="32" fillId="7" borderId="15" xfId="586" applyFont="1" applyFill="1" applyBorder="1" applyAlignment="1">
      <alignment horizontal="center" vertical="center"/>
      <protection/>
    </xf>
    <xf numFmtId="3" fontId="32" fillId="7" borderId="15" xfId="586" applyNumberFormat="1" applyFont="1" applyFill="1" applyBorder="1" applyAlignment="1">
      <alignment horizontal="center" vertical="center"/>
      <protection/>
    </xf>
    <xf numFmtId="0" fontId="32" fillId="7" borderId="15" xfId="586" applyNumberFormat="1" applyFont="1" applyFill="1" applyBorder="1" applyAlignment="1">
      <alignment horizontal="center" vertical="center"/>
      <protection/>
    </xf>
    <xf numFmtId="0" fontId="32" fillId="7" borderId="13" xfId="586" applyFont="1" applyFill="1" applyBorder="1" applyAlignment="1">
      <alignment horizontal="center" vertical="center"/>
      <protection/>
    </xf>
    <xf numFmtId="2" fontId="32" fillId="0" borderId="0" xfId="586" applyNumberFormat="1" applyFont="1" applyFill="1" applyBorder="1" applyAlignment="1">
      <alignment horizontal="justify" vertical="center"/>
      <protection/>
    </xf>
    <xf numFmtId="4" fontId="32" fillId="0" borderId="0" xfId="586" applyNumberFormat="1" applyFont="1" applyFill="1" applyBorder="1" applyAlignment="1">
      <alignment horizontal="justify" vertical="top"/>
      <protection/>
    </xf>
    <xf numFmtId="0" fontId="34" fillId="15" borderId="20" xfId="586" applyFont="1" applyFill="1" applyBorder="1">
      <alignment/>
      <protection/>
    </xf>
    <xf numFmtId="0" fontId="35" fillId="15" borderId="0" xfId="586" applyFont="1" applyFill="1" applyBorder="1" applyAlignment="1">
      <alignment vertical="top"/>
      <protection/>
    </xf>
    <xf numFmtId="0" fontId="35" fillId="15" borderId="23" xfId="586" applyFont="1" applyFill="1" applyBorder="1" applyAlignment="1">
      <alignment horizontal="center"/>
      <protection/>
    </xf>
    <xf numFmtId="3" fontId="36" fillId="15" borderId="15" xfId="586" applyNumberFormat="1" applyFont="1" applyFill="1" applyBorder="1" applyAlignment="1">
      <alignment horizontal="right" vertical="top"/>
      <protection/>
    </xf>
    <xf numFmtId="4" fontId="36" fillId="15" borderId="15" xfId="586" applyNumberFormat="1" applyFont="1" applyFill="1" applyBorder="1" applyAlignment="1">
      <alignment horizontal="right" vertical="top"/>
      <protection/>
    </xf>
    <xf numFmtId="4" fontId="36" fillId="15" borderId="15" xfId="586" applyNumberFormat="1" applyFont="1" applyFill="1" applyBorder="1" applyAlignment="1">
      <alignment horizontal="center" vertical="top"/>
      <protection/>
    </xf>
    <xf numFmtId="4" fontId="36" fillId="15" borderId="13" xfId="586" applyNumberFormat="1" applyFont="1" applyFill="1" applyBorder="1" applyAlignment="1">
      <alignment horizontal="right" vertical="top"/>
      <protection/>
    </xf>
    <xf numFmtId="4" fontId="36" fillId="0" borderId="0" xfId="586" applyNumberFormat="1" applyFont="1" applyFill="1" applyBorder="1" applyAlignment="1">
      <alignment horizontal="right" vertical="top"/>
      <protection/>
    </xf>
    <xf numFmtId="4" fontId="36" fillId="0" borderId="0" xfId="586" applyNumberFormat="1" applyFont="1" applyFill="1" applyBorder="1" applyAlignment="1">
      <alignment horizontal="center" vertical="top"/>
      <protection/>
    </xf>
    <xf numFmtId="0" fontId="34" fillId="0" borderId="0" xfId="586" applyFont="1" applyBorder="1">
      <alignment/>
      <protection/>
    </xf>
    <xf numFmtId="0" fontId="37" fillId="0" borderId="13" xfId="586" applyFont="1" applyFill="1" applyBorder="1">
      <alignment/>
      <protection/>
    </xf>
    <xf numFmtId="0" fontId="37" fillId="0" borderId="14" xfId="586" applyFont="1" applyFill="1" applyBorder="1">
      <alignment/>
      <protection/>
    </xf>
    <xf numFmtId="0" fontId="37" fillId="0" borderId="22" xfId="586" applyFont="1" applyFill="1" applyBorder="1">
      <alignment/>
      <protection/>
    </xf>
    <xf numFmtId="3" fontId="38" fillId="0" borderId="15" xfId="586" applyNumberFormat="1" applyFont="1" applyFill="1" applyBorder="1" applyAlignment="1">
      <alignment horizontal="right"/>
      <protection/>
    </xf>
    <xf numFmtId="3" fontId="37" fillId="0" borderId="15" xfId="586" applyNumberFormat="1" applyFont="1" applyFill="1" applyBorder="1" applyAlignment="1">
      <alignment horizontal="right"/>
      <protection/>
    </xf>
    <xf numFmtId="4" fontId="38" fillId="0" borderId="15" xfId="586" applyNumberFormat="1" applyFont="1" applyFill="1" applyBorder="1" applyAlignment="1">
      <alignment horizontal="right"/>
      <protection/>
    </xf>
    <xf numFmtId="4" fontId="38" fillId="0" borderId="15" xfId="586" applyNumberFormat="1" applyFont="1" applyFill="1" applyBorder="1" applyAlignment="1">
      <alignment horizontal="center"/>
      <protection/>
    </xf>
    <xf numFmtId="3" fontId="38" fillId="0" borderId="13" xfId="586" applyNumberFormat="1" applyFont="1" applyFill="1" applyBorder="1" applyAlignment="1">
      <alignment horizontal="right"/>
      <protection/>
    </xf>
    <xf numFmtId="4" fontId="38" fillId="0" borderId="0" xfId="586" applyNumberFormat="1" applyFont="1" applyFill="1" applyBorder="1" applyAlignment="1">
      <alignment horizontal="right"/>
      <protection/>
    </xf>
    <xf numFmtId="4" fontId="38" fillId="0" borderId="0" xfId="586" applyNumberFormat="1" applyFont="1" applyFill="1" applyBorder="1" applyAlignment="1">
      <alignment horizontal="center"/>
      <protection/>
    </xf>
    <xf numFmtId="0" fontId="5" fillId="0" borderId="0" xfId="586" applyFill="1" applyBorder="1">
      <alignment/>
      <protection/>
    </xf>
    <xf numFmtId="4" fontId="38" fillId="0" borderId="13" xfId="586" applyNumberFormat="1" applyFont="1" applyFill="1" applyBorder="1" applyAlignment="1">
      <alignment horizontal="right"/>
      <protection/>
    </xf>
    <xf numFmtId="0" fontId="37" fillId="0" borderId="13" xfId="586" applyFont="1" applyBorder="1">
      <alignment/>
      <protection/>
    </xf>
    <xf numFmtId="0" fontId="37" fillId="0" borderId="14" xfId="586" applyFont="1" applyBorder="1">
      <alignment/>
      <protection/>
    </xf>
    <xf numFmtId="0" fontId="37" fillId="0" borderId="22" xfId="586" applyFont="1" applyBorder="1">
      <alignment/>
      <protection/>
    </xf>
    <xf numFmtId="3" fontId="37" fillId="0" borderId="21" xfId="586" applyNumberFormat="1" applyFont="1" applyBorder="1" applyAlignment="1">
      <alignment horizontal="right"/>
      <protection/>
    </xf>
    <xf numFmtId="3" fontId="38" fillId="0" borderId="21" xfId="586" applyNumberFormat="1" applyFont="1" applyBorder="1" applyAlignment="1">
      <alignment horizontal="right"/>
      <protection/>
    </xf>
    <xf numFmtId="4" fontId="37" fillId="0" borderId="21" xfId="586" applyNumberFormat="1" applyFont="1" applyFill="1" applyBorder="1" applyAlignment="1">
      <alignment horizontal="right"/>
      <protection/>
    </xf>
    <xf numFmtId="4" fontId="37" fillId="0" borderId="15" xfId="586" applyNumberFormat="1" applyFont="1" applyFill="1" applyBorder="1" applyAlignment="1">
      <alignment horizontal="center"/>
      <protection/>
    </xf>
    <xf numFmtId="4" fontId="37" fillId="0" borderId="17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center"/>
      <protection/>
    </xf>
    <xf numFmtId="4" fontId="37" fillId="0" borderId="21" xfId="586" applyNumberFormat="1" applyFont="1" applyBorder="1" applyAlignment="1">
      <alignment horizontal="left"/>
      <protection/>
    </xf>
    <xf numFmtId="4" fontId="39" fillId="0" borderId="15" xfId="586" applyNumberFormat="1" applyFont="1" applyFill="1" applyBorder="1" applyAlignment="1">
      <alignment horizontal="left"/>
      <protection/>
    </xf>
    <xf numFmtId="4" fontId="37" fillId="0" borderId="17" xfId="586" applyNumberFormat="1" applyFont="1" applyBorder="1" applyAlignment="1">
      <alignment horizontal="left"/>
      <protection/>
    </xf>
    <xf numFmtId="4" fontId="39" fillId="0" borderId="0" xfId="586" applyNumberFormat="1" applyFont="1" applyFill="1" applyBorder="1" applyAlignment="1">
      <alignment horizontal="left"/>
      <protection/>
    </xf>
    <xf numFmtId="3" fontId="37" fillId="0" borderId="15" xfId="586" applyNumberFormat="1" applyFont="1" applyBorder="1">
      <alignment/>
      <protection/>
    </xf>
    <xf numFmtId="3" fontId="37" fillId="0" borderId="15" xfId="586" applyNumberFormat="1" applyFont="1" applyBorder="1" applyAlignment="1">
      <alignment horizontal="right"/>
      <protection/>
    </xf>
    <xf numFmtId="3" fontId="38" fillId="0" borderId="15" xfId="586" applyNumberFormat="1" applyFont="1" applyBorder="1">
      <alignment/>
      <protection/>
    </xf>
    <xf numFmtId="4" fontId="37" fillId="0" borderId="15" xfId="586" applyNumberFormat="1" applyFont="1" applyBorder="1" applyAlignment="1">
      <alignment horizontal="right"/>
      <protection/>
    </xf>
    <xf numFmtId="4" fontId="37" fillId="0" borderId="13" xfId="586" applyNumberFormat="1" applyFont="1" applyBorder="1" applyAlignment="1">
      <alignment horizontal="right"/>
      <protection/>
    </xf>
    <xf numFmtId="4" fontId="37" fillId="0" borderId="15" xfId="586" applyNumberFormat="1" applyFont="1" applyBorder="1" applyAlignment="1">
      <alignment horizontal="left"/>
      <protection/>
    </xf>
    <xf numFmtId="4" fontId="37" fillId="0" borderId="13" xfId="586" applyNumberFormat="1" applyFont="1" applyBorder="1" applyAlignment="1">
      <alignment horizontal="left"/>
      <protection/>
    </xf>
    <xf numFmtId="4" fontId="37" fillId="0" borderId="15" xfId="586" applyNumberFormat="1" applyFont="1" applyFill="1" applyBorder="1" applyAlignment="1">
      <alignment horizontal="right"/>
      <protection/>
    </xf>
    <xf numFmtId="4" fontId="40" fillId="0" borderId="0" xfId="586" applyNumberFormat="1" applyFont="1" applyBorder="1" applyAlignment="1">
      <alignment horizontal="left"/>
      <protection/>
    </xf>
    <xf numFmtId="0" fontId="37" fillId="0" borderId="0" xfId="586" applyFont="1" applyBorder="1">
      <alignment/>
      <protection/>
    </xf>
    <xf numFmtId="3" fontId="37" fillId="0" borderId="0" xfId="586" applyNumberFormat="1" applyFont="1" applyBorder="1">
      <alignment/>
      <protection/>
    </xf>
    <xf numFmtId="3" fontId="37" fillId="0" borderId="0" xfId="586" applyNumberFormat="1" applyFont="1" applyBorder="1" applyAlignment="1">
      <alignment horizontal="center"/>
      <protection/>
    </xf>
    <xf numFmtId="3" fontId="38" fillId="0" borderId="0" xfId="586" applyNumberFormat="1" applyFont="1" applyBorder="1">
      <alignment/>
      <protection/>
    </xf>
    <xf numFmtId="4" fontId="37" fillId="0" borderId="0" xfId="586" applyNumberFormat="1" applyFont="1" applyBorder="1" applyAlignment="1">
      <alignment horizontal="center"/>
      <protection/>
    </xf>
    <xf numFmtId="3" fontId="37" fillId="0" borderId="0" xfId="586" applyNumberFormat="1" applyFont="1" applyBorder="1" applyAlignment="1">
      <alignment horizontal="right"/>
      <protection/>
    </xf>
    <xf numFmtId="0" fontId="34" fillId="15" borderId="13" xfId="586" applyFont="1" applyFill="1" applyBorder="1">
      <alignment/>
      <protection/>
    </xf>
    <xf numFmtId="0" fontId="34" fillId="15" borderId="14" xfId="586" applyFont="1" applyFill="1" applyBorder="1">
      <alignment/>
      <protection/>
    </xf>
    <xf numFmtId="0" fontId="34" fillId="15" borderId="22" xfId="586" applyFont="1" applyFill="1" applyBorder="1">
      <alignment/>
      <protection/>
    </xf>
    <xf numFmtId="3" fontId="36" fillId="15" borderId="15" xfId="586" applyNumberFormat="1" applyFont="1" applyFill="1" applyBorder="1" applyAlignment="1">
      <alignment horizontal="right"/>
      <protection/>
    </xf>
    <xf numFmtId="4" fontId="36" fillId="15" borderId="15" xfId="586" applyNumberFormat="1" applyFont="1" applyFill="1" applyBorder="1" applyAlignment="1">
      <alignment horizontal="right"/>
      <protection/>
    </xf>
    <xf numFmtId="4" fontId="36" fillId="15" borderId="15" xfId="586" applyNumberFormat="1" applyFont="1" applyFill="1" applyBorder="1" applyAlignment="1">
      <alignment horizontal="center"/>
      <protection/>
    </xf>
    <xf numFmtId="4" fontId="36" fillId="15" borderId="13" xfId="586" applyNumberFormat="1" applyFont="1" applyFill="1" applyBorder="1" applyAlignment="1">
      <alignment horizontal="right"/>
      <protection/>
    </xf>
    <xf numFmtId="4" fontId="36" fillId="0" borderId="0" xfId="586" applyNumberFormat="1" applyFont="1" applyFill="1" applyBorder="1" applyAlignment="1">
      <alignment horizontal="center"/>
      <protection/>
    </xf>
    <xf numFmtId="0" fontId="34" fillId="0" borderId="0" xfId="586" applyFont="1" applyFill="1" applyBorder="1">
      <alignment/>
      <protection/>
    </xf>
    <xf numFmtId="3" fontId="38" fillId="0" borderId="15" xfId="586" applyNumberFormat="1" applyFont="1" applyBorder="1" applyAlignment="1">
      <alignment horizontal="right"/>
      <protection/>
    </xf>
    <xf numFmtId="4" fontId="37" fillId="0" borderId="15" xfId="586" applyNumberFormat="1" applyFont="1" applyBorder="1" applyAlignment="1">
      <alignment horizontal="center"/>
      <protection/>
    </xf>
    <xf numFmtId="4" fontId="39" fillId="0" borderId="15" xfId="586" applyNumberFormat="1" applyFont="1" applyBorder="1" applyAlignment="1">
      <alignment horizontal="left"/>
      <protection/>
    </xf>
    <xf numFmtId="0" fontId="5" fillId="0" borderId="0" xfId="586" applyBorder="1">
      <alignment/>
      <protection/>
    </xf>
    <xf numFmtId="0" fontId="37" fillId="0" borderId="17" xfId="586" applyFont="1" applyBorder="1">
      <alignment/>
      <protection/>
    </xf>
    <xf numFmtId="0" fontId="37" fillId="0" borderId="18" xfId="586" applyFont="1" applyFill="1" applyBorder="1">
      <alignment/>
      <protection/>
    </xf>
    <xf numFmtId="0" fontId="37" fillId="0" borderId="24" xfId="586" applyFont="1" applyFill="1" applyBorder="1">
      <alignment/>
      <protection/>
    </xf>
    <xf numFmtId="4" fontId="37" fillId="0" borderId="21" xfId="586" applyNumberFormat="1" applyFont="1" applyBorder="1" applyAlignment="1">
      <alignment horizontal="right"/>
      <protection/>
    </xf>
    <xf numFmtId="4" fontId="37" fillId="0" borderId="17" xfId="586" applyNumberFormat="1" applyFont="1" applyBorder="1" applyAlignment="1">
      <alignment horizontal="right"/>
      <protection/>
    </xf>
    <xf numFmtId="3" fontId="36" fillId="4" borderId="15" xfId="586" applyNumberFormat="1" applyFont="1" applyFill="1" applyBorder="1" applyAlignment="1">
      <alignment horizontal="right"/>
      <protection/>
    </xf>
    <xf numFmtId="4" fontId="36" fillId="4" borderId="15" xfId="586" applyNumberFormat="1" applyFont="1" applyFill="1" applyBorder="1" applyAlignment="1">
      <alignment horizontal="right"/>
      <protection/>
    </xf>
    <xf numFmtId="4" fontId="36" fillId="4" borderId="15" xfId="586" applyNumberFormat="1" applyFont="1" applyFill="1" applyBorder="1" applyAlignment="1">
      <alignment horizontal="center"/>
      <protection/>
    </xf>
    <xf numFmtId="4" fontId="36" fillId="4" borderId="13" xfId="586" applyNumberFormat="1" applyFont="1" applyFill="1" applyBorder="1" applyAlignment="1">
      <alignment horizontal="right"/>
      <protection/>
    </xf>
    <xf numFmtId="4" fontId="38" fillId="4" borderId="15" xfId="586" applyNumberFormat="1" applyFont="1" applyFill="1" applyBorder="1" applyAlignment="1">
      <alignment horizontal="right"/>
      <protection/>
    </xf>
    <xf numFmtId="0" fontId="37" fillId="0" borderId="0" xfId="586" applyFont="1" applyFill="1" applyBorder="1">
      <alignment/>
      <protection/>
    </xf>
    <xf numFmtId="3" fontId="38" fillId="0" borderId="0" xfId="586" applyNumberFormat="1" applyFont="1" applyBorder="1" applyAlignment="1">
      <alignment horizontal="right"/>
      <protection/>
    </xf>
    <xf numFmtId="2" fontId="37" fillId="0" borderId="0" xfId="586" applyNumberFormat="1" applyFont="1" applyBorder="1" applyAlignment="1">
      <alignment horizontal="center"/>
      <protection/>
    </xf>
    <xf numFmtId="2" fontId="37" fillId="0" borderId="0" xfId="586" applyNumberFormat="1" applyFont="1" applyFill="1" applyBorder="1" applyAlignment="1">
      <alignment horizontal="center"/>
      <protection/>
    </xf>
    <xf numFmtId="2" fontId="32" fillId="0" borderId="0" xfId="586" applyNumberFormat="1" applyFont="1" applyFill="1" applyBorder="1" applyAlignment="1">
      <alignment horizontal="center" vertical="center"/>
      <protection/>
    </xf>
    <xf numFmtId="4" fontId="32" fillId="0" borderId="0" xfId="586" applyNumberFormat="1" applyFont="1" applyFill="1" applyBorder="1" applyAlignment="1">
      <alignment horizontal="center" vertical="top"/>
      <protection/>
    </xf>
    <xf numFmtId="4" fontId="36" fillId="0" borderId="0" xfId="586" applyNumberFormat="1" applyFont="1" applyFill="1" applyBorder="1" applyAlignment="1">
      <alignment horizontal="right"/>
      <protection/>
    </xf>
    <xf numFmtId="2" fontId="40" fillId="0" borderId="0" xfId="586" applyNumberFormat="1" applyFont="1" applyBorder="1" applyAlignment="1">
      <alignment horizontal="left"/>
      <protection/>
    </xf>
    <xf numFmtId="3" fontId="37" fillId="0" borderId="0" xfId="586" applyNumberFormat="1" applyFont="1" applyFill="1" applyBorder="1">
      <alignment/>
      <protection/>
    </xf>
    <xf numFmtId="3" fontId="38" fillId="0" borderId="0" xfId="586" applyNumberFormat="1" applyFont="1" applyFill="1" applyBorder="1">
      <alignment/>
      <protection/>
    </xf>
    <xf numFmtId="3" fontId="37" fillId="0" borderId="16" xfId="586" applyNumberFormat="1" applyFont="1" applyFill="1" applyBorder="1" applyAlignment="1">
      <alignment horizontal="right"/>
      <protection/>
    </xf>
    <xf numFmtId="3" fontId="37" fillId="0" borderId="16" xfId="586" applyNumberFormat="1" applyFont="1" applyBorder="1" applyAlignment="1">
      <alignment horizontal="right"/>
      <protection/>
    </xf>
    <xf numFmtId="3" fontId="38" fillId="0" borderId="16" xfId="586" applyNumberFormat="1" applyFont="1" applyFill="1" applyBorder="1" applyAlignment="1">
      <alignment horizontal="right"/>
      <protection/>
    </xf>
    <xf numFmtId="4" fontId="37" fillId="0" borderId="16" xfId="586" applyNumberFormat="1" applyFont="1" applyBorder="1" applyAlignment="1">
      <alignment horizontal="right"/>
      <protection/>
    </xf>
    <xf numFmtId="4" fontId="37" fillId="0" borderId="25" xfId="586" applyNumberFormat="1" applyFont="1" applyBorder="1" applyAlignment="1">
      <alignment horizontal="right"/>
      <protection/>
    </xf>
    <xf numFmtId="1" fontId="37" fillId="0" borderId="0" xfId="586" applyNumberFormat="1" applyFont="1" applyFill="1" applyBorder="1" applyAlignment="1">
      <alignment horizontal="left"/>
      <protection/>
    </xf>
    <xf numFmtId="1" fontId="37" fillId="0" borderId="0" xfId="586" applyNumberFormat="1" applyFont="1" applyFill="1" applyBorder="1" applyAlignment="1">
      <alignment horizontal="right"/>
      <protection/>
    </xf>
    <xf numFmtId="3" fontId="41" fillId="0" borderId="15" xfId="586" applyNumberFormat="1" applyFont="1" applyBorder="1" applyAlignment="1">
      <alignment horizontal="right"/>
      <protection/>
    </xf>
    <xf numFmtId="4" fontId="37" fillId="6" borderId="13" xfId="586" applyNumberFormat="1" applyFont="1" applyFill="1" applyBorder="1" applyAlignment="1">
      <alignment horizontal="right"/>
      <protection/>
    </xf>
    <xf numFmtId="2" fontId="42" fillId="0" borderId="0" xfId="586" applyNumberFormat="1" applyFont="1" applyBorder="1" applyAlignment="1">
      <alignment horizontal="left"/>
      <protection/>
    </xf>
    <xf numFmtId="4" fontId="36" fillId="15" borderId="22" xfId="586" applyNumberFormat="1" applyFont="1" applyFill="1" applyBorder="1" applyAlignment="1">
      <alignment horizontal="right"/>
      <protection/>
    </xf>
    <xf numFmtId="3" fontId="37" fillId="0" borderId="19" xfId="586" applyNumberFormat="1" applyFont="1" applyFill="1" applyBorder="1" applyAlignment="1">
      <alignment horizontal="right"/>
      <protection/>
    </xf>
    <xf numFmtId="3" fontId="38" fillId="0" borderId="19" xfId="586" applyNumberFormat="1" applyFont="1" applyFill="1" applyBorder="1" applyAlignment="1">
      <alignment horizontal="right"/>
      <protection/>
    </xf>
    <xf numFmtId="4" fontId="37" fillId="0" borderId="20" xfId="586" applyNumberFormat="1" applyFont="1" applyFill="1" applyBorder="1" applyAlignment="1">
      <alignment horizontal="right"/>
      <protection/>
    </xf>
    <xf numFmtId="4" fontId="37" fillId="0" borderId="22" xfId="586" applyNumberFormat="1" applyFont="1" applyFill="1" applyBorder="1" applyAlignment="1">
      <alignment horizontal="right"/>
      <protection/>
    </xf>
    <xf numFmtId="4" fontId="37" fillId="0" borderId="19" xfId="586" applyNumberFormat="1" applyFont="1" applyFill="1" applyBorder="1" applyAlignment="1">
      <alignment horizontal="right"/>
      <protection/>
    </xf>
    <xf numFmtId="0" fontId="37" fillId="0" borderId="17" xfId="586" applyFont="1" applyFill="1" applyBorder="1">
      <alignment/>
      <protection/>
    </xf>
    <xf numFmtId="4" fontId="37" fillId="0" borderId="13" xfId="586" applyNumberFormat="1" applyFont="1" applyFill="1" applyBorder="1" applyAlignment="1">
      <alignment horizontal="right"/>
      <protection/>
    </xf>
    <xf numFmtId="0" fontId="37" fillId="0" borderId="18" xfId="586" applyFont="1" applyBorder="1">
      <alignment/>
      <protection/>
    </xf>
    <xf numFmtId="3" fontId="37" fillId="0" borderId="21" xfId="586" applyNumberFormat="1" applyFont="1" applyFill="1" applyBorder="1" applyAlignment="1">
      <alignment horizontal="right"/>
      <protection/>
    </xf>
    <xf numFmtId="3" fontId="38" fillId="0" borderId="21" xfId="586" applyNumberFormat="1" applyFont="1" applyFill="1" applyBorder="1" applyAlignment="1">
      <alignment horizontal="right"/>
      <protection/>
    </xf>
    <xf numFmtId="4" fontId="37" fillId="6" borderId="17" xfId="586" applyNumberFormat="1" applyFont="1" applyFill="1" applyBorder="1" applyAlignment="1">
      <alignment horizontal="right"/>
      <protection/>
    </xf>
    <xf numFmtId="0" fontId="37" fillId="0" borderId="17" xfId="586" applyFont="1" applyBorder="1" applyAlignment="1">
      <alignment/>
      <protection/>
    </xf>
    <xf numFmtId="0" fontId="37" fillId="0" borderId="18" xfId="586" applyFont="1" applyBorder="1" applyAlignment="1">
      <alignment/>
      <protection/>
    </xf>
    <xf numFmtId="3" fontId="36" fillId="4" borderId="14" xfId="586" applyNumberFormat="1" applyFont="1" applyFill="1" applyBorder="1" applyAlignment="1">
      <alignment horizontal="right"/>
      <protection/>
    </xf>
    <xf numFmtId="4" fontId="36" fillId="4" borderId="22" xfId="586" applyNumberFormat="1" applyFont="1" applyFill="1" applyBorder="1" applyAlignment="1">
      <alignment horizontal="right"/>
      <protection/>
    </xf>
    <xf numFmtId="4" fontId="36" fillId="4" borderId="14" xfId="586" applyNumberFormat="1" applyFont="1" applyFill="1" applyBorder="1" applyAlignment="1">
      <alignment horizontal="right"/>
      <protection/>
    </xf>
    <xf numFmtId="0" fontId="37" fillId="0" borderId="0" xfId="586" applyFont="1" applyBorder="1" applyAlignment="1">
      <alignment/>
      <protection/>
    </xf>
    <xf numFmtId="3" fontId="37" fillId="0" borderId="0" xfId="586" applyNumberFormat="1" applyFont="1" applyFill="1" applyBorder="1" applyAlignment="1">
      <alignment horizontal="right"/>
      <protection/>
    </xf>
    <xf numFmtId="3" fontId="38" fillId="0" borderId="0" xfId="586" applyNumberFormat="1" applyFont="1" applyFill="1" applyBorder="1" applyAlignment="1">
      <alignment horizontal="right"/>
      <protection/>
    </xf>
    <xf numFmtId="3" fontId="33" fillId="4" borderId="0" xfId="586" applyNumberFormat="1" applyFont="1" applyFill="1" applyBorder="1" applyAlignment="1">
      <alignment/>
      <protection/>
    </xf>
    <xf numFmtId="3" fontId="33" fillId="0" borderId="0" xfId="586" applyNumberFormat="1" applyFont="1" applyFill="1" applyBorder="1" applyAlignment="1">
      <alignment/>
      <protection/>
    </xf>
    <xf numFmtId="3" fontId="37" fillId="0" borderId="15" xfId="586" applyNumberFormat="1" applyFont="1" applyFill="1" applyBorder="1" applyAlignment="1">
      <alignment horizontal="center"/>
      <protection/>
    </xf>
    <xf numFmtId="3" fontId="38" fillId="0" borderId="15" xfId="586" applyNumberFormat="1" applyFont="1" applyFill="1" applyBorder="1" applyAlignment="1">
      <alignment horizontal="center"/>
      <protection/>
    </xf>
    <xf numFmtId="4" fontId="37" fillId="3" borderId="15" xfId="586" applyNumberFormat="1" applyFont="1" applyFill="1" applyBorder="1" applyAlignment="1">
      <alignment horizontal="right"/>
      <protection/>
    </xf>
    <xf numFmtId="3" fontId="38" fillId="0" borderId="16" xfId="586" applyNumberFormat="1" applyFont="1" applyBorder="1" applyAlignment="1">
      <alignment horizontal="right"/>
      <protection/>
    </xf>
    <xf numFmtId="4" fontId="37" fillId="0" borderId="16" xfId="586" applyNumberFormat="1" applyFont="1" applyFill="1" applyBorder="1" applyAlignment="1">
      <alignment horizontal="right"/>
      <protection/>
    </xf>
    <xf numFmtId="3" fontId="35" fillId="0" borderId="0" xfId="586" applyNumberFormat="1" applyFont="1" applyFill="1" applyBorder="1" applyAlignment="1">
      <alignment horizontal="right" vertical="top"/>
      <protection/>
    </xf>
    <xf numFmtId="3" fontId="37" fillId="0" borderId="15" xfId="586" applyNumberFormat="1" applyFont="1" applyFill="1" applyBorder="1">
      <alignment/>
      <protection/>
    </xf>
    <xf numFmtId="3" fontId="38" fillId="0" borderId="15" xfId="586" applyNumberFormat="1" applyFont="1" applyFill="1" applyBorder="1">
      <alignment/>
      <protection/>
    </xf>
    <xf numFmtId="3" fontId="35" fillId="0" borderId="0" xfId="586" applyNumberFormat="1" applyFont="1" applyFill="1" applyBorder="1" applyAlignment="1">
      <alignment horizontal="right"/>
      <protection/>
    </xf>
    <xf numFmtId="3" fontId="37" fillId="0" borderId="21" xfId="586" applyNumberFormat="1" applyFont="1" applyFill="1" applyBorder="1">
      <alignment/>
      <protection/>
    </xf>
    <xf numFmtId="3" fontId="38" fillId="0" borderId="21" xfId="586" applyNumberFormat="1" applyFont="1" applyFill="1" applyBorder="1">
      <alignment/>
      <protection/>
    </xf>
    <xf numFmtId="4" fontId="37" fillId="3" borderId="21" xfId="586" applyNumberFormat="1" applyFont="1" applyFill="1" applyBorder="1" applyAlignment="1">
      <alignment horizontal="right"/>
      <protection/>
    </xf>
    <xf numFmtId="3" fontId="35" fillId="0" borderId="0" xfId="586" applyNumberFormat="1" applyFont="1" applyFill="1" applyBorder="1">
      <alignment/>
      <protection/>
    </xf>
    <xf numFmtId="3" fontId="34" fillId="0" borderId="0" xfId="586" applyNumberFormat="1" applyFont="1" applyFill="1" applyBorder="1" applyAlignment="1">
      <alignment horizontal="center"/>
      <protection/>
    </xf>
    <xf numFmtId="3" fontId="5" fillId="0" borderId="0" xfId="586" applyNumberFormat="1" applyFont="1" applyFill="1" applyBorder="1">
      <alignment/>
      <protection/>
    </xf>
    <xf numFmtId="0" fontId="37" fillId="20" borderId="13" xfId="586" applyFont="1" applyFill="1" applyBorder="1">
      <alignment/>
      <protection/>
    </xf>
    <xf numFmtId="2" fontId="40" fillId="0" borderId="0" xfId="586" applyNumberFormat="1" applyFont="1" applyFill="1" applyBorder="1" applyAlignment="1">
      <alignment horizontal="left"/>
      <protection/>
    </xf>
    <xf numFmtId="3" fontId="37" fillId="0" borderId="14" xfId="586" applyNumberFormat="1" applyFont="1" applyFill="1" applyBorder="1">
      <alignment/>
      <protection/>
    </xf>
    <xf numFmtId="3" fontId="37" fillId="0" borderId="14" xfId="586" applyNumberFormat="1" applyFont="1" applyFill="1" applyBorder="1" applyAlignment="1">
      <alignment horizontal="right"/>
      <protection/>
    </xf>
    <xf numFmtId="3" fontId="38" fillId="0" borderId="14" xfId="586" applyNumberFormat="1" applyFont="1" applyFill="1" applyBorder="1">
      <alignment/>
      <protection/>
    </xf>
    <xf numFmtId="4" fontId="5" fillId="0" borderId="15" xfId="586" applyNumberFormat="1" applyFont="1" applyFill="1" applyBorder="1" applyAlignment="1">
      <alignment horizontal="right"/>
      <protection/>
    </xf>
    <xf numFmtId="2" fontId="37" fillId="0" borderId="15" xfId="586" applyNumberFormat="1" applyFont="1" applyFill="1" applyBorder="1" applyAlignment="1">
      <alignment horizontal="right"/>
      <protection/>
    </xf>
    <xf numFmtId="4" fontId="5" fillId="0" borderId="0" xfId="586" applyNumberFormat="1" applyFont="1" applyFill="1" applyBorder="1" applyAlignment="1">
      <alignment horizontal="right"/>
      <protection/>
    </xf>
    <xf numFmtId="0" fontId="34" fillId="15" borderId="25" xfId="586" applyFont="1" applyFill="1" applyBorder="1">
      <alignment/>
      <protection/>
    </xf>
    <xf numFmtId="0" fontId="34" fillId="15" borderId="26" xfId="586" applyFont="1" applyFill="1" applyBorder="1">
      <alignment/>
      <protection/>
    </xf>
    <xf numFmtId="0" fontId="34" fillId="15" borderId="27" xfId="586" applyFont="1" applyFill="1" applyBorder="1">
      <alignment/>
      <protection/>
    </xf>
    <xf numFmtId="3" fontId="32" fillId="15" borderId="15" xfId="586" applyNumberFormat="1" applyFont="1" applyFill="1" applyBorder="1">
      <alignment/>
      <protection/>
    </xf>
    <xf numFmtId="3" fontId="32" fillId="15" borderId="15" xfId="586" applyNumberFormat="1" applyFont="1" applyFill="1" applyBorder="1" applyAlignment="1">
      <alignment horizontal="right"/>
      <protection/>
    </xf>
    <xf numFmtId="4" fontId="37" fillId="15" borderId="16" xfId="586" applyNumberFormat="1" applyFont="1" applyFill="1" applyBorder="1" applyAlignment="1">
      <alignment horizontal="right"/>
      <protection/>
    </xf>
    <xf numFmtId="2" fontId="38" fillId="15" borderId="25" xfId="586" applyNumberFormat="1" applyFont="1" applyFill="1" applyBorder="1" applyAlignment="1">
      <alignment horizontal="right"/>
      <protection/>
    </xf>
    <xf numFmtId="4" fontId="38" fillId="15" borderId="16" xfId="586" applyNumberFormat="1" applyFont="1" applyFill="1" applyBorder="1" applyAlignment="1">
      <alignment horizontal="right"/>
      <protection/>
    </xf>
    <xf numFmtId="3" fontId="37" fillId="0" borderId="14" xfId="586" applyNumberFormat="1" applyFont="1" applyBorder="1" applyAlignment="1">
      <alignment horizontal="right"/>
      <protection/>
    </xf>
    <xf numFmtId="3" fontId="38" fillId="0" borderId="14" xfId="586" applyNumberFormat="1" applyFont="1" applyBorder="1" applyAlignment="1">
      <alignment horizontal="right"/>
      <protection/>
    </xf>
    <xf numFmtId="4" fontId="37" fillId="0" borderId="14" xfId="586" applyNumberFormat="1" applyFont="1" applyBorder="1" applyAlignment="1">
      <alignment horizontal="right"/>
      <protection/>
    </xf>
    <xf numFmtId="4" fontId="37" fillId="0" borderId="21" xfId="586" applyNumberFormat="1" applyFont="1" applyBorder="1">
      <alignment/>
      <protection/>
    </xf>
    <xf numFmtId="4" fontId="37" fillId="0" borderId="15" xfId="586" applyNumberFormat="1" applyFont="1" applyBorder="1">
      <alignment/>
      <protection/>
    </xf>
    <xf numFmtId="4" fontId="37" fillId="0" borderId="0" xfId="586" applyNumberFormat="1" applyFont="1" applyFill="1" applyBorder="1">
      <alignment/>
      <protection/>
    </xf>
    <xf numFmtId="1" fontId="37" fillId="0" borderId="13" xfId="586" applyNumberFormat="1" applyFont="1" applyFill="1" applyBorder="1" applyAlignment="1">
      <alignment horizontal="right"/>
      <protection/>
    </xf>
    <xf numFmtId="4" fontId="43" fillId="0" borderId="0" xfId="586" applyNumberFormat="1" applyFont="1" applyFill="1" applyBorder="1" applyAlignment="1">
      <alignment horizontal="right"/>
      <protection/>
    </xf>
    <xf numFmtId="1" fontId="5" fillId="0" borderId="13" xfId="586" applyNumberFormat="1" applyFont="1" applyFill="1" applyBorder="1" applyAlignment="1">
      <alignment horizontal="right"/>
      <protection/>
    </xf>
    <xf numFmtId="4" fontId="36" fillId="4" borderId="21" xfId="586" applyNumberFormat="1" applyFont="1" applyFill="1" applyBorder="1" applyAlignment="1">
      <alignment horizontal="right"/>
      <protection/>
    </xf>
    <xf numFmtId="4" fontId="36" fillId="4" borderId="17" xfId="586" applyNumberFormat="1" applyFont="1" applyFill="1" applyBorder="1" applyAlignment="1">
      <alignment horizontal="right"/>
      <protection/>
    </xf>
    <xf numFmtId="0" fontId="32" fillId="3" borderId="28" xfId="586" applyFont="1" applyFill="1" applyBorder="1">
      <alignment/>
      <protection/>
    </xf>
    <xf numFmtId="0" fontId="32" fillId="3" borderId="29" xfId="586" applyFont="1" applyFill="1" applyBorder="1">
      <alignment/>
      <protection/>
    </xf>
    <xf numFmtId="0" fontId="32" fillId="3" borderId="30" xfId="586" applyFont="1" applyFill="1" applyBorder="1">
      <alignment/>
      <protection/>
    </xf>
    <xf numFmtId="3" fontId="38" fillId="3" borderId="31" xfId="586" applyNumberFormat="1" applyFont="1" applyFill="1" applyBorder="1" applyAlignment="1">
      <alignment horizontal="right"/>
      <protection/>
    </xf>
    <xf numFmtId="3" fontId="38" fillId="3" borderId="28" xfId="586" applyNumberFormat="1" applyFont="1" applyFill="1" applyBorder="1" applyAlignment="1">
      <alignment horizontal="right"/>
      <protection/>
    </xf>
    <xf numFmtId="4" fontId="38" fillId="3" borderId="31" xfId="586" applyNumberFormat="1" applyFont="1" applyFill="1" applyBorder="1" applyAlignment="1">
      <alignment horizontal="right"/>
      <protection/>
    </xf>
    <xf numFmtId="4" fontId="38" fillId="3" borderId="30" xfId="586" applyNumberFormat="1" applyFont="1" applyFill="1" applyBorder="1" applyAlignment="1">
      <alignment horizontal="right"/>
      <protection/>
    </xf>
    <xf numFmtId="4" fontId="38" fillId="3" borderId="28" xfId="586" applyNumberFormat="1" applyFont="1" applyFill="1" applyBorder="1" applyAlignment="1">
      <alignment horizontal="right"/>
      <protection/>
    </xf>
    <xf numFmtId="1" fontId="36" fillId="0" borderId="0" xfId="586" applyNumberFormat="1" applyFont="1" applyFill="1" applyBorder="1" applyAlignment="1">
      <alignment horizontal="right"/>
      <protection/>
    </xf>
    <xf numFmtId="0" fontId="32" fillId="7" borderId="14" xfId="586" applyFont="1" applyFill="1" applyBorder="1" applyAlignment="1">
      <alignment vertical="top"/>
      <protection/>
    </xf>
    <xf numFmtId="0" fontId="32" fillId="7" borderId="22" xfId="586" applyFont="1" applyFill="1" applyBorder="1" applyAlignment="1">
      <alignment horizontal="center"/>
      <protection/>
    </xf>
    <xf numFmtId="4" fontId="32" fillId="7" borderId="15" xfId="586" applyNumberFormat="1" applyFont="1" applyFill="1" applyBorder="1" applyAlignment="1">
      <alignment horizontal="justify" vertical="top"/>
      <protection/>
    </xf>
    <xf numFmtId="2" fontId="32" fillId="7" borderId="21" xfId="586" applyNumberFormat="1" applyFont="1" applyFill="1" applyBorder="1" applyAlignment="1">
      <alignment horizontal="justify" vertical="center"/>
      <protection/>
    </xf>
    <xf numFmtId="0" fontId="37" fillId="0" borderId="22" xfId="586" applyFont="1" applyBorder="1" applyAlignment="1">
      <alignment horizontal="left"/>
      <protection/>
    </xf>
    <xf numFmtId="0" fontId="37" fillId="0" borderId="24" xfId="586" applyFont="1" applyBorder="1" applyAlignment="1">
      <alignment horizontal="left"/>
      <protection/>
    </xf>
    <xf numFmtId="4" fontId="37" fillId="3" borderId="15" xfId="586" applyNumberFormat="1" applyFont="1" applyFill="1" applyBorder="1">
      <alignment/>
      <protection/>
    </xf>
    <xf numFmtId="4" fontId="37" fillId="0" borderId="17" xfId="586" applyNumberFormat="1" applyFont="1" applyBorder="1">
      <alignment/>
      <protection/>
    </xf>
    <xf numFmtId="4" fontId="36" fillId="4" borderId="15" xfId="586" applyNumberFormat="1" applyFont="1" applyFill="1" applyBorder="1">
      <alignment/>
      <protection/>
    </xf>
    <xf numFmtId="4" fontId="36" fillId="4" borderId="13" xfId="586" applyNumberFormat="1" applyFont="1" applyFill="1" applyBorder="1">
      <alignment/>
      <protection/>
    </xf>
    <xf numFmtId="4" fontId="36" fillId="0" borderId="0" xfId="586" applyNumberFormat="1" applyFont="1" applyFill="1" applyBorder="1">
      <alignment/>
      <protection/>
    </xf>
    <xf numFmtId="0" fontId="37" fillId="0" borderId="0" xfId="586" applyFont="1" applyBorder="1" applyAlignment="1">
      <alignment horizontal="left"/>
      <protection/>
    </xf>
    <xf numFmtId="4" fontId="37" fillId="0" borderId="13" xfId="586" applyNumberFormat="1" applyFont="1" applyBorder="1">
      <alignment/>
      <protection/>
    </xf>
    <xf numFmtId="0" fontId="5" fillId="0" borderId="0" xfId="586">
      <alignment/>
      <protection/>
    </xf>
    <xf numFmtId="10" fontId="5" fillId="0" borderId="0" xfId="586" applyNumberFormat="1" applyFont="1" applyBorder="1">
      <alignment/>
      <protection/>
    </xf>
    <xf numFmtId="4" fontId="37" fillId="0" borderId="19" xfId="586" applyNumberFormat="1" applyFont="1" applyBorder="1">
      <alignment/>
      <protection/>
    </xf>
    <xf numFmtId="4" fontId="37" fillId="3" borderId="19" xfId="586" applyNumberFormat="1" applyFont="1" applyFill="1" applyBorder="1">
      <alignment/>
      <protection/>
    </xf>
    <xf numFmtId="4" fontId="37" fillId="0" borderId="16" xfId="586" applyNumberFormat="1" applyFont="1" applyBorder="1">
      <alignment/>
      <protection/>
    </xf>
    <xf numFmtId="4" fontId="37" fillId="6" borderId="14" xfId="586" applyNumberFormat="1" applyFont="1" applyFill="1" applyBorder="1" applyAlignment="1">
      <alignment horizontal="right"/>
      <protection/>
    </xf>
    <xf numFmtId="4" fontId="37" fillId="0" borderId="19" xfId="586" applyNumberFormat="1" applyFont="1" applyFill="1" applyBorder="1">
      <alignment/>
      <protection/>
    </xf>
    <xf numFmtId="4" fontId="37" fillId="0" borderId="0" xfId="586" applyNumberFormat="1" applyFont="1" applyBorder="1" applyAlignment="1">
      <alignment horizontal="right"/>
      <protection/>
    </xf>
    <xf numFmtId="4" fontId="36" fillId="4" borderId="21" xfId="586" applyNumberFormat="1" applyFont="1" applyFill="1" applyBorder="1">
      <alignment/>
      <protection/>
    </xf>
    <xf numFmtId="0" fontId="5" fillId="3" borderId="29" xfId="586" applyFont="1" applyFill="1" applyBorder="1">
      <alignment/>
      <protection/>
    </xf>
    <xf numFmtId="4" fontId="38" fillId="3" borderId="31" xfId="586" applyNumberFormat="1" applyFont="1" applyFill="1" applyBorder="1">
      <alignment/>
      <protection/>
    </xf>
    <xf numFmtId="4" fontId="38" fillId="0" borderId="0" xfId="586" applyNumberFormat="1" applyFont="1" applyFill="1" applyBorder="1">
      <alignment/>
      <protection/>
    </xf>
    <xf numFmtId="0" fontId="33" fillId="0" borderId="0" xfId="586" applyFont="1" applyFill="1" applyBorder="1">
      <alignment/>
      <protection/>
    </xf>
    <xf numFmtId="0" fontId="32" fillId="4" borderId="0" xfId="586" applyFont="1" applyFill="1" applyBorder="1" applyAlignment="1">
      <alignment/>
      <protection/>
    </xf>
    <xf numFmtId="0" fontId="32" fillId="0" borderId="0" xfId="586" applyFont="1" applyFill="1" applyBorder="1" applyAlignment="1">
      <alignment/>
      <protection/>
    </xf>
    <xf numFmtId="0" fontId="37" fillId="0" borderId="15" xfId="586" applyFont="1" applyBorder="1">
      <alignment/>
      <protection/>
    </xf>
    <xf numFmtId="0" fontId="37" fillId="0" borderId="16" xfId="586" applyFont="1" applyBorder="1">
      <alignment/>
      <protection/>
    </xf>
    <xf numFmtId="0" fontId="37" fillId="0" borderId="24" xfId="586" applyFont="1" applyBorder="1">
      <alignment/>
      <protection/>
    </xf>
    <xf numFmtId="0" fontId="37" fillId="0" borderId="19" xfId="586" applyFont="1" applyBorder="1">
      <alignment/>
      <protection/>
    </xf>
    <xf numFmtId="0" fontId="35" fillId="4" borderId="13" xfId="586" applyFont="1" applyFill="1" applyBorder="1">
      <alignment/>
      <protection/>
    </xf>
    <xf numFmtId="0" fontId="35" fillId="4" borderId="14" xfId="586" applyFont="1" applyFill="1" applyBorder="1">
      <alignment/>
      <protection/>
    </xf>
    <xf numFmtId="0" fontId="35" fillId="4" borderId="22" xfId="586" applyFont="1" applyFill="1" applyBorder="1">
      <alignment/>
      <protection/>
    </xf>
    <xf numFmtId="0" fontId="36" fillId="4" borderId="15" xfId="586" applyFont="1" applyFill="1" applyBorder="1">
      <alignment/>
      <protection/>
    </xf>
    <xf numFmtId="0" fontId="38" fillId="0" borderId="0" xfId="586" applyFont="1" applyBorder="1" applyAlignment="1">
      <alignment horizontal="left"/>
      <protection/>
    </xf>
    <xf numFmtId="0" fontId="32" fillId="0" borderId="0" xfId="586" applyFont="1" applyFill="1" applyBorder="1">
      <alignment/>
      <protection/>
    </xf>
    <xf numFmtId="4" fontId="32" fillId="0" borderId="0" xfId="586" applyNumberFormat="1" applyFont="1" applyFill="1" applyBorder="1">
      <alignment/>
      <protection/>
    </xf>
    <xf numFmtId="4" fontId="37" fillId="0" borderId="15" xfId="586" applyNumberFormat="1" applyFont="1" applyFill="1" applyBorder="1">
      <alignment/>
      <protection/>
    </xf>
    <xf numFmtId="3" fontId="37" fillId="0" borderId="19" xfId="586" applyNumberFormat="1" applyFont="1" applyBorder="1">
      <alignment/>
      <protection/>
    </xf>
    <xf numFmtId="4" fontId="37" fillId="0" borderId="18" xfId="586" applyNumberFormat="1" applyFont="1" applyBorder="1" applyAlignment="1">
      <alignment horizontal="right"/>
      <protection/>
    </xf>
    <xf numFmtId="3" fontId="32" fillId="0" borderId="0" xfId="586" applyNumberFormat="1" applyFont="1" applyFill="1" applyBorder="1" applyAlignment="1">
      <alignment horizontal="right"/>
      <protection/>
    </xf>
    <xf numFmtId="2" fontId="32" fillId="0" borderId="0" xfId="586" applyNumberFormat="1" applyFont="1" applyFill="1" applyBorder="1" applyAlignment="1">
      <alignment horizontal="center"/>
      <protection/>
    </xf>
    <xf numFmtId="0" fontId="38" fillId="0" borderId="0" xfId="586" applyFont="1" applyBorder="1">
      <alignment/>
      <protection/>
    </xf>
    <xf numFmtId="0" fontId="37" fillId="3" borderId="0" xfId="586" applyFont="1" applyFill="1" applyBorder="1">
      <alignment/>
      <protection/>
    </xf>
    <xf numFmtId="2" fontId="37" fillId="3" borderId="0" xfId="586" applyNumberFormat="1" applyFont="1" applyFill="1" applyBorder="1" applyAlignment="1">
      <alignment horizontal="center"/>
      <protection/>
    </xf>
    <xf numFmtId="0" fontId="5" fillId="3" borderId="0" xfId="586" applyFont="1" applyFill="1" applyBorder="1">
      <alignment/>
      <protection/>
    </xf>
    <xf numFmtId="3" fontId="37" fillId="0" borderId="21" xfId="586" applyNumberFormat="1" applyFont="1" applyBorder="1">
      <alignment/>
      <protection/>
    </xf>
    <xf numFmtId="3" fontId="38" fillId="3" borderId="31" xfId="586" applyNumberFormat="1" applyFont="1" applyFill="1" applyBorder="1">
      <alignment/>
      <protection/>
    </xf>
    <xf numFmtId="4" fontId="37" fillId="3" borderId="31" xfId="586" applyNumberFormat="1" applyFont="1" applyFill="1" applyBorder="1">
      <alignment/>
      <protection/>
    </xf>
    <xf numFmtId="0" fontId="5" fillId="0" borderId="13" xfId="586" applyFont="1" applyBorder="1">
      <alignment/>
      <protection/>
    </xf>
    <xf numFmtId="0" fontId="5" fillId="0" borderId="14" xfId="586" applyFont="1" applyBorder="1">
      <alignment/>
      <protection/>
    </xf>
    <xf numFmtId="0" fontId="5" fillId="0" borderId="22" xfId="586" applyFont="1" applyBorder="1">
      <alignment/>
      <protection/>
    </xf>
    <xf numFmtId="4" fontId="40" fillId="0" borderId="0" xfId="586" applyNumberFormat="1" applyFont="1" applyBorder="1">
      <alignment/>
      <protection/>
    </xf>
    <xf numFmtId="4" fontId="42" fillId="0" borderId="0" xfId="586" applyNumberFormat="1" applyFont="1" applyBorder="1">
      <alignment/>
      <protection/>
    </xf>
    <xf numFmtId="0" fontId="32" fillId="4" borderId="13" xfId="586" applyFont="1" applyFill="1" applyBorder="1">
      <alignment/>
      <protection/>
    </xf>
    <xf numFmtId="0" fontId="5" fillId="4" borderId="14" xfId="586" applyFont="1" applyFill="1" applyBorder="1">
      <alignment/>
      <protection/>
    </xf>
    <xf numFmtId="0" fontId="5" fillId="4" borderId="22" xfId="586" applyFont="1" applyFill="1" applyBorder="1">
      <alignment/>
      <protection/>
    </xf>
    <xf numFmtId="4" fontId="37" fillId="4" borderId="16" xfId="586" applyNumberFormat="1" applyFont="1" applyFill="1" applyBorder="1">
      <alignment/>
      <protection/>
    </xf>
    <xf numFmtId="4" fontId="37" fillId="4" borderId="13" xfId="586" applyNumberFormat="1" applyFont="1" applyFill="1" applyBorder="1" applyAlignment="1">
      <alignment horizontal="right"/>
      <protection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174" fontId="4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46" fillId="0" borderId="0" xfId="0" applyNumberFormat="1" applyFont="1" applyAlignment="1">
      <alignment/>
    </xf>
    <xf numFmtId="0" fontId="45" fillId="9" borderId="31" xfId="0" applyFont="1" applyFill="1" applyBorder="1" applyAlignment="1">
      <alignment horizontal="center"/>
    </xf>
    <xf numFmtId="0" fontId="26" fillId="9" borderId="32" xfId="0" applyFont="1" applyFill="1" applyBorder="1" applyAlignment="1">
      <alignment horizontal="left"/>
    </xf>
    <xf numFmtId="49" fontId="47" fillId="9" borderId="29" xfId="0" applyNumberFormat="1" applyFont="1" applyFill="1" applyBorder="1" applyAlignment="1">
      <alignment horizontal="center"/>
    </xf>
    <xf numFmtId="0" fontId="0" fillId="9" borderId="29" xfId="0" applyFont="1" applyFill="1" applyBorder="1" applyAlignment="1">
      <alignment/>
    </xf>
    <xf numFmtId="0" fontId="0" fillId="9" borderId="30" xfId="0" applyFont="1" applyFill="1" applyBorder="1" applyAlignment="1">
      <alignment/>
    </xf>
    <xf numFmtId="0" fontId="45" fillId="9" borderId="33" xfId="0" applyFont="1" applyFill="1" applyBorder="1" applyAlignment="1">
      <alignment horizontal="center"/>
    </xf>
    <xf numFmtId="0" fontId="45" fillId="9" borderId="23" xfId="0" applyFont="1" applyFill="1" applyBorder="1" applyAlignment="1">
      <alignment horizontal="center"/>
    </xf>
    <xf numFmtId="49" fontId="45" fillId="9" borderId="23" xfId="0" applyNumberFormat="1" applyFont="1" applyFill="1" applyBorder="1" applyAlignment="1">
      <alignment horizontal="center"/>
    </xf>
    <xf numFmtId="0" fontId="49" fillId="9" borderId="34" xfId="0" applyFont="1" applyFill="1" applyBorder="1" applyAlignment="1">
      <alignment/>
    </xf>
    <xf numFmtId="0" fontId="49" fillId="9" borderId="34" xfId="0" applyFont="1" applyFill="1" applyBorder="1" applyAlignment="1">
      <alignment horizontal="center"/>
    </xf>
    <xf numFmtId="0" fontId="49" fillId="9" borderId="35" xfId="0" applyFont="1" applyFill="1" applyBorder="1" applyAlignment="1">
      <alignment horizontal="center"/>
    </xf>
    <xf numFmtId="174" fontId="0" fillId="9" borderId="36" xfId="0" applyNumberFormat="1" applyFont="1" applyFill="1" applyBorder="1" applyAlignment="1">
      <alignment horizontal="center"/>
    </xf>
    <xf numFmtId="174" fontId="0" fillId="9" borderId="37" xfId="0" applyNumberFormat="1" applyFont="1" applyFill="1" applyBorder="1" applyAlignment="1">
      <alignment horizontal="center"/>
    </xf>
    <xf numFmtId="174" fontId="0" fillId="9" borderId="38" xfId="0" applyNumberFormat="1" applyFont="1" applyFill="1" applyBorder="1" applyAlignment="1">
      <alignment horizontal="center"/>
    </xf>
    <xf numFmtId="1" fontId="0" fillId="9" borderId="36" xfId="0" applyNumberFormat="1" applyFont="1" applyFill="1" applyBorder="1" applyAlignment="1">
      <alignment horizontal="center" vertical="center"/>
    </xf>
    <xf numFmtId="1" fontId="0" fillId="9" borderId="39" xfId="0" applyNumberFormat="1" applyFont="1" applyFill="1" applyBorder="1" applyAlignment="1">
      <alignment horizontal="center" vertical="center"/>
    </xf>
    <xf numFmtId="1" fontId="0" fillId="9" borderId="40" xfId="0" applyNumberFormat="1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/>
    </xf>
    <xf numFmtId="0" fontId="50" fillId="7" borderId="42" xfId="0" applyFont="1" applyFill="1" applyBorder="1" applyAlignment="1">
      <alignment horizontal="left" vertical="center"/>
    </xf>
    <xf numFmtId="0" fontId="50" fillId="7" borderId="42" xfId="0" applyFont="1" applyFill="1" applyBorder="1" applyAlignment="1">
      <alignment vertical="center"/>
    </xf>
    <xf numFmtId="0" fontId="50" fillId="7" borderId="42" xfId="0" applyFont="1" applyFill="1" applyBorder="1" applyAlignment="1">
      <alignment/>
    </xf>
    <xf numFmtId="0" fontId="50" fillId="7" borderId="43" xfId="0" applyFont="1" applyFill="1" applyBorder="1" applyAlignment="1">
      <alignment/>
    </xf>
    <xf numFmtId="174" fontId="50" fillId="7" borderId="34" xfId="0" applyNumberFormat="1" applyFont="1" applyFill="1" applyBorder="1" applyAlignment="1">
      <alignment/>
    </xf>
    <xf numFmtId="3" fontId="50" fillId="7" borderId="35" xfId="0" applyNumberFormat="1" applyFont="1" applyFill="1" applyBorder="1" applyAlignment="1">
      <alignment/>
    </xf>
    <xf numFmtId="0" fontId="45" fillId="0" borderId="33" xfId="0" applyFont="1" applyBorder="1" applyAlignment="1">
      <alignment horizontal="center"/>
    </xf>
    <xf numFmtId="0" fontId="51" fillId="7" borderId="23" xfId="0" applyFont="1" applyFill="1" applyBorder="1" applyAlignment="1">
      <alignment/>
    </xf>
    <xf numFmtId="0" fontId="51" fillId="7" borderId="44" xfId="0" applyFont="1" applyFill="1" applyBorder="1" applyAlignment="1">
      <alignment/>
    </xf>
    <xf numFmtId="0" fontId="45" fillId="7" borderId="0" xfId="0" applyFont="1" applyFill="1" applyBorder="1" applyAlignment="1">
      <alignment/>
    </xf>
    <xf numFmtId="0" fontId="51" fillId="7" borderId="0" xfId="0" applyFont="1" applyFill="1" applyBorder="1" applyAlignment="1">
      <alignment/>
    </xf>
    <xf numFmtId="0" fontId="51" fillId="7" borderId="45" xfId="0" applyFont="1" applyFill="1" applyBorder="1" applyAlignment="1">
      <alignment/>
    </xf>
    <xf numFmtId="174" fontId="52" fillId="7" borderId="46" xfId="0" applyNumberFormat="1" applyFont="1" applyFill="1" applyBorder="1" applyAlignment="1">
      <alignment/>
    </xf>
    <xf numFmtId="3" fontId="53" fillId="7" borderId="33" xfId="0" applyNumberFormat="1" applyFont="1" applyFill="1" applyBorder="1" applyAlignment="1">
      <alignment/>
    </xf>
    <xf numFmtId="0" fontId="51" fillId="7" borderId="47" xfId="0" applyFont="1" applyFill="1" applyBorder="1" applyAlignment="1">
      <alignment/>
    </xf>
    <xf numFmtId="0" fontId="51" fillId="7" borderId="48" xfId="0" applyFont="1" applyFill="1" applyBorder="1" applyAlignment="1">
      <alignment/>
    </xf>
    <xf numFmtId="0" fontId="45" fillId="7" borderId="49" xfId="0" applyFont="1" applyFill="1" applyBorder="1" applyAlignment="1">
      <alignment/>
    </xf>
    <xf numFmtId="0" fontId="51" fillId="7" borderId="49" xfId="0" applyFont="1" applyFill="1" applyBorder="1" applyAlignment="1">
      <alignment/>
    </xf>
    <xf numFmtId="0" fontId="51" fillId="7" borderId="50" xfId="0" applyFont="1" applyFill="1" applyBorder="1" applyAlignment="1">
      <alignment/>
    </xf>
    <xf numFmtId="174" fontId="52" fillId="7" borderId="51" xfId="0" applyNumberFormat="1" applyFont="1" applyFill="1" applyBorder="1" applyAlignment="1">
      <alignment/>
    </xf>
    <xf numFmtId="3" fontId="53" fillId="7" borderId="52" xfId="0" applyNumberFormat="1" applyFont="1" applyFill="1" applyBorder="1" applyAlignment="1">
      <alignment/>
    </xf>
    <xf numFmtId="0" fontId="52" fillId="10" borderId="23" xfId="0" applyFont="1" applyFill="1" applyBorder="1" applyAlignment="1">
      <alignment horizontal="center"/>
    </xf>
    <xf numFmtId="0" fontId="54" fillId="10" borderId="23" xfId="0" applyFont="1" applyFill="1" applyBorder="1" applyAlignment="1">
      <alignment/>
    </xf>
    <xf numFmtId="0" fontId="45" fillId="10" borderId="0" xfId="0" applyFont="1" applyFill="1" applyBorder="1" applyAlignment="1">
      <alignment/>
    </xf>
    <xf numFmtId="0" fontId="45" fillId="10" borderId="45" xfId="0" applyFont="1" applyFill="1" applyBorder="1" applyAlignment="1">
      <alignment/>
    </xf>
    <xf numFmtId="174" fontId="53" fillId="10" borderId="46" xfId="0" applyNumberFormat="1" applyFont="1" applyFill="1" applyBorder="1" applyAlignment="1">
      <alignment/>
    </xf>
    <xf numFmtId="3" fontId="53" fillId="10" borderId="41" xfId="0" applyNumberFormat="1" applyFont="1" applyFill="1" applyBorder="1" applyAlignment="1">
      <alignment/>
    </xf>
    <xf numFmtId="3" fontId="53" fillId="10" borderId="33" xfId="0" applyNumberFormat="1" applyFont="1" applyFill="1" applyBorder="1" applyAlignment="1">
      <alignment/>
    </xf>
    <xf numFmtId="0" fontId="55" fillId="0" borderId="23" xfId="0" applyFont="1" applyFill="1" applyBorder="1" applyAlignment="1">
      <alignment horizontal="center"/>
    </xf>
    <xf numFmtId="49" fontId="51" fillId="3" borderId="0" xfId="0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51" fillId="3" borderId="45" xfId="0" applyFont="1" applyFill="1" applyBorder="1" applyAlignment="1">
      <alignment/>
    </xf>
    <xf numFmtId="174" fontId="51" fillId="3" borderId="46" xfId="0" applyNumberFormat="1" applyFont="1" applyFill="1" applyBorder="1" applyAlignment="1">
      <alignment horizontal="right"/>
    </xf>
    <xf numFmtId="3" fontId="51" fillId="3" borderId="33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52" fillId="0" borderId="23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45" xfId="0" applyFont="1" applyFill="1" applyBorder="1" applyAlignment="1">
      <alignment/>
    </xf>
    <xf numFmtId="174" fontId="51" fillId="7" borderId="46" xfId="0" applyNumberFormat="1" applyFont="1" applyFill="1" applyBorder="1" applyAlignment="1">
      <alignment/>
    </xf>
    <xf numFmtId="3" fontId="51" fillId="7" borderId="33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49" fontId="52" fillId="15" borderId="19" xfId="0" applyNumberFormat="1" applyFont="1" applyFill="1" applyBorder="1" applyAlignment="1">
      <alignment horizontal="center"/>
    </xf>
    <xf numFmtId="49" fontId="53" fillId="15" borderId="13" xfId="0" applyNumberFormat="1" applyFont="1" applyFill="1" applyBorder="1" applyAlignment="1">
      <alignment horizontal="left"/>
    </xf>
    <xf numFmtId="0" fontId="53" fillId="15" borderId="14" xfId="0" applyFont="1" applyFill="1" applyBorder="1" applyAlignment="1">
      <alignment/>
    </xf>
    <xf numFmtId="0" fontId="53" fillId="15" borderId="53" xfId="0" applyFont="1" applyFill="1" applyBorder="1" applyAlignment="1">
      <alignment/>
    </xf>
    <xf numFmtId="174" fontId="53" fillId="15" borderId="54" xfId="0" applyNumberFormat="1" applyFont="1" applyFill="1" applyBorder="1" applyAlignment="1">
      <alignment horizontal="right"/>
    </xf>
    <xf numFmtId="3" fontId="51" fillId="15" borderId="55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56" fillId="0" borderId="20" xfId="0" applyNumberFormat="1" applyFont="1" applyFill="1" applyBorder="1" applyAlignment="1">
      <alignment horizontal="right"/>
    </xf>
    <xf numFmtId="0" fontId="45" fillId="0" borderId="19" xfId="0" applyFont="1" applyBorder="1" applyAlignment="1">
      <alignment horizontal="center"/>
    </xf>
    <xf numFmtId="0" fontId="45" fillId="8" borderId="20" xfId="0" applyFont="1" applyFill="1" applyBorder="1" applyAlignment="1">
      <alignment/>
    </xf>
    <xf numFmtId="0" fontId="45" fillId="8" borderId="23" xfId="0" applyFont="1" applyFill="1" applyBorder="1" applyAlignment="1">
      <alignment/>
    </xf>
    <xf numFmtId="174" fontId="45" fillId="0" borderId="0" xfId="0" applyNumberFormat="1" applyFont="1" applyFill="1" applyBorder="1" applyAlignment="1">
      <alignment horizontal="right"/>
    </xf>
    <xf numFmtId="3" fontId="45" fillId="0" borderId="33" xfId="0" applyNumberFormat="1" applyFont="1" applyFill="1" applyBorder="1" applyAlignment="1">
      <alignment horizontal="right"/>
    </xf>
    <xf numFmtId="0" fontId="45" fillId="0" borderId="15" xfId="0" applyFont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174" fontId="45" fillId="0" borderId="14" xfId="0" applyNumberFormat="1" applyFont="1" applyFill="1" applyBorder="1" applyAlignment="1">
      <alignment horizontal="right"/>
    </xf>
    <xf numFmtId="3" fontId="45" fillId="0" borderId="55" xfId="0" applyNumberFormat="1" applyFont="1" applyFill="1" applyBorder="1" applyAlignment="1">
      <alignment horizontal="right"/>
    </xf>
    <xf numFmtId="0" fontId="45" fillId="8" borderId="13" xfId="0" applyFont="1" applyFill="1" applyBorder="1" applyAlignment="1">
      <alignment/>
    </xf>
    <xf numFmtId="0" fontId="45" fillId="8" borderId="22" xfId="0" applyFont="1" applyFill="1" applyBorder="1" applyAlignment="1">
      <alignment/>
    </xf>
    <xf numFmtId="0" fontId="45" fillId="8" borderId="17" xfId="0" applyFont="1" applyFill="1" applyBorder="1" applyAlignment="1">
      <alignment/>
    </xf>
    <xf numFmtId="0" fontId="45" fillId="8" borderId="24" xfId="0" applyFont="1" applyFill="1" applyBorder="1" applyAlignment="1">
      <alignment/>
    </xf>
    <xf numFmtId="174" fontId="45" fillId="0" borderId="18" xfId="0" applyNumberFormat="1" applyFont="1" applyFill="1" applyBorder="1" applyAlignment="1">
      <alignment horizontal="right"/>
    </xf>
    <xf numFmtId="3" fontId="45" fillId="0" borderId="39" xfId="0" applyNumberFormat="1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5" fillId="8" borderId="53" xfId="0" applyFont="1" applyFill="1" applyBorder="1" applyAlignment="1">
      <alignment/>
    </xf>
    <xf numFmtId="174" fontId="45" fillId="0" borderId="54" xfId="0" applyNumberFormat="1" applyFont="1" applyFill="1" applyBorder="1" applyAlignment="1">
      <alignment horizontal="right"/>
    </xf>
    <xf numFmtId="0" fontId="45" fillId="0" borderId="23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53" fillId="3" borderId="45" xfId="0" applyFont="1" applyFill="1" applyBorder="1" applyAlignment="1">
      <alignment/>
    </xf>
    <xf numFmtId="174" fontId="53" fillId="3" borderId="46" xfId="0" applyNumberFormat="1" applyFont="1" applyFill="1" applyBorder="1" applyAlignment="1">
      <alignment horizontal="right"/>
    </xf>
    <xf numFmtId="3" fontId="53" fillId="3" borderId="33" xfId="0" applyNumberFormat="1" applyFont="1" applyFill="1" applyBorder="1" applyAlignment="1">
      <alignment horizontal="right"/>
    </xf>
    <xf numFmtId="0" fontId="45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2" fillId="15" borderId="23" xfId="0" applyNumberFormat="1" applyFont="1" applyFill="1" applyBorder="1" applyAlignment="1">
      <alignment horizontal="center"/>
    </xf>
    <xf numFmtId="0" fontId="53" fillId="15" borderId="13" xfId="0" applyFont="1" applyFill="1" applyBorder="1" applyAlignment="1">
      <alignment/>
    </xf>
    <xf numFmtId="0" fontId="51" fillId="15" borderId="53" xfId="0" applyFont="1" applyFill="1" applyBorder="1" applyAlignment="1">
      <alignment/>
    </xf>
    <xf numFmtId="174" fontId="51" fillId="15" borderId="54" xfId="0" applyNumberFormat="1" applyFont="1" applyFill="1" applyBorder="1" applyAlignment="1">
      <alignment horizontal="right"/>
    </xf>
    <xf numFmtId="49" fontId="56" fillId="0" borderId="23" xfId="0" applyNumberFormat="1" applyFont="1" applyFill="1" applyBorder="1" applyAlignment="1">
      <alignment horizontal="right"/>
    </xf>
    <xf numFmtId="0" fontId="45" fillId="0" borderId="19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45" xfId="0" applyFont="1" applyFill="1" applyBorder="1" applyAlignment="1">
      <alignment/>
    </xf>
    <xf numFmtId="174" fontId="51" fillId="0" borderId="46" xfId="0" applyNumberFormat="1" applyFont="1" applyFill="1" applyBorder="1" applyAlignment="1">
      <alignment horizontal="right"/>
    </xf>
    <xf numFmtId="0" fontId="45" fillId="0" borderId="15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53" xfId="0" applyFont="1" applyFill="1" applyBorder="1" applyAlignment="1">
      <alignment/>
    </xf>
    <xf numFmtId="174" fontId="51" fillId="0" borderId="54" xfId="0" applyNumberFormat="1" applyFont="1" applyFill="1" applyBorder="1" applyAlignment="1">
      <alignment horizontal="right"/>
    </xf>
    <xf numFmtId="0" fontId="51" fillId="0" borderId="53" xfId="0" applyFont="1" applyFill="1" applyBorder="1" applyAlignment="1">
      <alignment/>
    </xf>
    <xf numFmtId="174" fontId="45" fillId="0" borderId="54" xfId="0" applyNumberFormat="1" applyFont="1" applyFill="1" applyBorder="1" applyAlignment="1">
      <alignment/>
    </xf>
    <xf numFmtId="3" fontId="45" fillId="0" borderId="55" xfId="0" applyNumberFormat="1" applyFont="1" applyFill="1" applyBorder="1" applyAlignment="1">
      <alignment/>
    </xf>
    <xf numFmtId="174" fontId="51" fillId="15" borderId="54" xfId="0" applyNumberFormat="1" applyFont="1" applyFill="1" applyBorder="1" applyAlignment="1">
      <alignment/>
    </xf>
    <xf numFmtId="3" fontId="51" fillId="15" borderId="55" xfId="0" applyNumberFormat="1" applyFont="1" applyFill="1" applyBorder="1" applyAlignment="1">
      <alignment/>
    </xf>
    <xf numFmtId="49" fontId="45" fillId="0" borderId="19" xfId="0" applyNumberFormat="1" applyFont="1" applyFill="1" applyBorder="1" applyAlignment="1">
      <alignment horizontal="center"/>
    </xf>
    <xf numFmtId="0" fontId="45" fillId="8" borderId="45" xfId="0" applyFont="1" applyFill="1" applyBorder="1" applyAlignment="1">
      <alignment/>
    </xf>
    <xf numFmtId="174" fontId="45" fillId="0" borderId="46" xfId="0" applyNumberFormat="1" applyFont="1" applyFill="1" applyBorder="1" applyAlignment="1">
      <alignment/>
    </xf>
    <xf numFmtId="3" fontId="45" fillId="0" borderId="33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right"/>
    </xf>
    <xf numFmtId="49" fontId="45" fillId="0" borderId="15" xfId="0" applyNumberFormat="1" applyFont="1" applyFill="1" applyBorder="1" applyAlignment="1">
      <alignment horizontal="center"/>
    </xf>
    <xf numFmtId="49" fontId="56" fillId="0" borderId="19" xfId="0" applyNumberFormat="1" applyFont="1" applyFill="1" applyBorder="1" applyAlignment="1">
      <alignment horizontal="right"/>
    </xf>
    <xf numFmtId="174" fontId="45" fillId="0" borderId="46" xfId="0" applyNumberFormat="1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55" xfId="0" applyFont="1" applyBorder="1" applyAlignment="1">
      <alignment/>
    </xf>
    <xf numFmtId="1" fontId="45" fillId="0" borderId="55" xfId="0" applyNumberFormat="1" applyFont="1" applyBorder="1" applyAlignment="1">
      <alignment/>
    </xf>
    <xf numFmtId="0" fontId="54" fillId="0" borderId="20" xfId="0" applyFont="1" applyFill="1" applyBorder="1" applyAlignment="1">
      <alignment/>
    </xf>
    <xf numFmtId="174" fontId="53" fillId="15" borderId="54" xfId="0" applyNumberFormat="1" applyFont="1" applyFill="1" applyBorder="1" applyAlignment="1">
      <alignment/>
    </xf>
    <xf numFmtId="3" fontId="51" fillId="15" borderId="55" xfId="0" applyNumberFormat="1" applyFont="1" applyFill="1" applyBorder="1" applyAlignment="1">
      <alignment/>
    </xf>
    <xf numFmtId="0" fontId="51" fillId="0" borderId="45" xfId="0" applyFont="1" applyFill="1" applyBorder="1" applyAlignment="1">
      <alignment/>
    </xf>
    <xf numFmtId="174" fontId="51" fillId="0" borderId="46" xfId="0" applyNumberFormat="1" applyFont="1" applyFill="1" applyBorder="1" applyAlignment="1">
      <alignment/>
    </xf>
    <xf numFmtId="3" fontId="45" fillId="0" borderId="33" xfId="0" applyNumberFormat="1" applyFont="1" applyFill="1" applyBorder="1" applyAlignment="1">
      <alignment/>
    </xf>
    <xf numFmtId="174" fontId="51" fillId="0" borderId="54" xfId="0" applyNumberFormat="1" applyFont="1" applyFill="1" applyBorder="1" applyAlignment="1">
      <alignment/>
    </xf>
    <xf numFmtId="3" fontId="45" fillId="0" borderId="55" xfId="0" applyNumberFormat="1" applyFont="1" applyFill="1" applyBorder="1" applyAlignment="1">
      <alignment/>
    </xf>
    <xf numFmtId="0" fontId="52" fillId="10" borderId="0" xfId="0" applyFont="1" applyFill="1" applyBorder="1" applyAlignment="1">
      <alignment horizontal="center"/>
    </xf>
    <xf numFmtId="0" fontId="54" fillId="10" borderId="2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49" fontId="55" fillId="15" borderId="19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/>
    </xf>
    <xf numFmtId="0" fontId="54" fillId="10" borderId="0" xfId="0" applyFont="1" applyFill="1" applyBorder="1" applyAlignment="1">
      <alignment/>
    </xf>
    <xf numFmtId="0" fontId="51" fillId="10" borderId="45" xfId="0" applyFont="1" applyFill="1" applyBorder="1" applyAlignment="1">
      <alignment/>
    </xf>
    <xf numFmtId="49" fontId="55" fillId="15" borderId="23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45" fillId="0" borderId="14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174" fontId="53" fillId="0" borderId="54" xfId="0" applyNumberFormat="1" applyFont="1" applyFill="1" applyBorder="1" applyAlignment="1">
      <alignment/>
    </xf>
    <xf numFmtId="0" fontId="45" fillId="0" borderId="56" xfId="0" applyFont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6" fillId="0" borderId="58" xfId="0" applyFont="1" applyBorder="1" applyAlignment="1">
      <alignment horizontal="right"/>
    </xf>
    <xf numFmtId="0" fontId="45" fillId="0" borderId="59" xfId="0" applyFont="1" applyFill="1" applyBorder="1" applyAlignment="1">
      <alignment horizontal="center"/>
    </xf>
    <xf numFmtId="0" fontId="45" fillId="0" borderId="58" xfId="0" applyFont="1" applyFill="1" applyBorder="1" applyAlignment="1">
      <alignment/>
    </xf>
    <xf numFmtId="0" fontId="51" fillId="0" borderId="60" xfId="0" applyFont="1" applyFill="1" applyBorder="1" applyAlignment="1">
      <alignment/>
    </xf>
    <xf numFmtId="174" fontId="53" fillId="0" borderId="61" xfId="0" applyNumberFormat="1" applyFont="1" applyFill="1" applyBorder="1" applyAlignment="1">
      <alignment/>
    </xf>
    <xf numFmtId="3" fontId="49" fillId="0" borderId="56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45" fillId="9" borderId="56" xfId="0" applyFont="1" applyFill="1" applyBorder="1" applyAlignment="1">
      <alignment horizontal="center"/>
    </xf>
    <xf numFmtId="0" fontId="45" fillId="9" borderId="62" xfId="0" applyFont="1" applyFill="1" applyBorder="1" applyAlignment="1">
      <alignment horizontal="center"/>
    </xf>
    <xf numFmtId="49" fontId="45" fillId="9" borderId="62" xfId="0" applyNumberFormat="1" applyFont="1" applyFill="1" applyBorder="1" applyAlignment="1">
      <alignment horizontal="center"/>
    </xf>
    <xf numFmtId="1" fontId="0" fillId="9" borderId="63" xfId="0" applyNumberFormat="1" applyFont="1" applyFill="1" applyBorder="1" applyAlignment="1">
      <alignment horizontal="center" vertical="center"/>
    </xf>
    <xf numFmtId="1" fontId="0" fillId="9" borderId="64" xfId="0" applyNumberFormat="1" applyFont="1" applyFill="1" applyBorder="1" applyAlignment="1">
      <alignment horizontal="center" vertical="center"/>
    </xf>
    <xf numFmtId="1" fontId="0" fillId="9" borderId="18" xfId="0" applyNumberFormat="1" applyFont="1" applyFill="1" applyBorder="1" applyAlignment="1">
      <alignment horizontal="center" vertical="center"/>
    </xf>
    <xf numFmtId="0" fontId="50" fillId="7" borderId="65" xfId="0" applyFont="1" applyFill="1" applyBorder="1" applyAlignment="1">
      <alignment horizontal="left" vertical="center"/>
    </xf>
    <xf numFmtId="0" fontId="50" fillId="7" borderId="26" xfId="0" applyFont="1" applyFill="1" applyBorder="1" applyAlignment="1">
      <alignment vertical="center"/>
    </xf>
    <xf numFmtId="0" fontId="57" fillId="7" borderId="26" xfId="0" applyFont="1" applyFill="1" applyBorder="1" applyAlignment="1">
      <alignment/>
    </xf>
    <xf numFmtId="0" fontId="50" fillId="7" borderId="26" xfId="0" applyFont="1" applyFill="1" applyBorder="1" applyAlignment="1">
      <alignment/>
    </xf>
    <xf numFmtId="0" fontId="57" fillId="7" borderId="38" xfId="0" applyFont="1" applyFill="1" applyBorder="1" applyAlignment="1">
      <alignment/>
    </xf>
    <xf numFmtId="174" fontId="50" fillId="7" borderId="65" xfId="0" applyNumberFormat="1" applyFont="1" applyFill="1" applyBorder="1" applyAlignment="1">
      <alignment/>
    </xf>
    <xf numFmtId="3" fontId="50" fillId="7" borderId="26" xfId="0" applyNumberFormat="1" applyFont="1" applyFill="1" applyBorder="1" applyAlignment="1">
      <alignment/>
    </xf>
    <xf numFmtId="0" fontId="51" fillId="7" borderId="66" xfId="0" applyFont="1" applyFill="1" applyBorder="1" applyAlignment="1">
      <alignment/>
    </xf>
    <xf numFmtId="174" fontId="53" fillId="7" borderId="46" xfId="0" applyNumberFormat="1" applyFont="1" applyFill="1" applyBorder="1" applyAlignment="1">
      <alignment/>
    </xf>
    <xf numFmtId="3" fontId="53" fillId="7" borderId="0" xfId="0" applyNumberFormat="1" applyFont="1" applyFill="1" applyBorder="1" applyAlignment="1">
      <alignment/>
    </xf>
    <xf numFmtId="3" fontId="53" fillId="7" borderId="33" xfId="0" applyNumberFormat="1" applyFont="1" applyFill="1" applyBorder="1" applyAlignment="1">
      <alignment/>
    </xf>
    <xf numFmtId="3" fontId="53" fillId="7" borderId="46" xfId="0" applyNumberFormat="1" applyFont="1" applyFill="1" applyBorder="1" applyAlignment="1">
      <alignment/>
    </xf>
    <xf numFmtId="0" fontId="51" fillId="7" borderId="67" xfId="0" applyFont="1" applyFill="1" applyBorder="1" applyAlignment="1">
      <alignment/>
    </xf>
    <xf numFmtId="174" fontId="53" fillId="7" borderId="51" xfId="0" applyNumberFormat="1" applyFont="1" applyFill="1" applyBorder="1" applyAlignment="1">
      <alignment/>
    </xf>
    <xf numFmtId="3" fontId="53" fillId="7" borderId="49" xfId="0" applyNumberFormat="1" applyFont="1" applyFill="1" applyBorder="1" applyAlignment="1">
      <alignment/>
    </xf>
    <xf numFmtId="3" fontId="53" fillId="7" borderId="52" xfId="0" applyNumberFormat="1" applyFont="1" applyFill="1" applyBorder="1" applyAlignment="1">
      <alignment/>
    </xf>
    <xf numFmtId="0" fontId="52" fillId="10" borderId="66" xfId="0" applyFont="1" applyFill="1" applyBorder="1" applyAlignment="1">
      <alignment horizontal="center"/>
    </xf>
    <xf numFmtId="3" fontId="53" fillId="10" borderId="0" xfId="0" applyNumberFormat="1" applyFont="1" applyFill="1" applyBorder="1" applyAlignment="1">
      <alignment/>
    </xf>
    <xf numFmtId="0" fontId="52" fillId="0" borderId="66" xfId="0" applyFont="1" applyFill="1" applyBorder="1" applyAlignment="1">
      <alignment horizontal="center"/>
    </xf>
    <xf numFmtId="3" fontId="51" fillId="7" borderId="0" xfId="0" applyNumberFormat="1" applyFont="1" applyFill="1" applyBorder="1" applyAlignment="1">
      <alignment/>
    </xf>
    <xf numFmtId="0" fontId="45" fillId="0" borderId="66" xfId="0" applyFont="1" applyBorder="1" applyAlignment="1">
      <alignment horizontal="center"/>
    </xf>
    <xf numFmtId="49" fontId="55" fillId="15" borderId="0" xfId="0" applyNumberFormat="1" applyFont="1" applyFill="1" applyBorder="1" applyAlignment="1">
      <alignment horizontal="center"/>
    </xf>
    <xf numFmtId="0" fontId="45" fillId="15" borderId="14" xfId="0" applyFont="1" applyFill="1" applyBorder="1" applyAlignment="1">
      <alignment/>
    </xf>
    <xf numFmtId="0" fontId="45" fillId="15" borderId="53" xfId="0" applyFont="1" applyFill="1" applyBorder="1" applyAlignment="1">
      <alignment/>
    </xf>
    <xf numFmtId="3" fontId="51" fillId="15" borderId="54" xfId="0" applyNumberFormat="1" applyFont="1" applyFill="1" applyBorder="1" applyAlignment="1">
      <alignment horizontal="right"/>
    </xf>
    <xf numFmtId="49" fontId="45" fillId="0" borderId="21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right"/>
    </xf>
    <xf numFmtId="0" fontId="45" fillId="0" borderId="57" xfId="0" applyFont="1" applyBorder="1" applyAlignment="1">
      <alignment horizontal="center"/>
    </xf>
    <xf numFmtId="49" fontId="56" fillId="0" borderId="58" xfId="0" applyNumberFormat="1" applyFont="1" applyFill="1" applyBorder="1" applyAlignment="1">
      <alignment horizontal="right"/>
    </xf>
    <xf numFmtId="49" fontId="45" fillId="0" borderId="59" xfId="0" applyNumberFormat="1" applyFont="1" applyFill="1" applyBorder="1" applyAlignment="1">
      <alignment horizontal="center"/>
    </xf>
    <xf numFmtId="0" fontId="45" fillId="0" borderId="68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74" fontId="51" fillId="0" borderId="61" xfId="0" applyNumberFormat="1" applyFont="1" applyFill="1" applyBorder="1" applyAlignment="1">
      <alignment horizontal="right"/>
    </xf>
    <xf numFmtId="3" fontId="45" fillId="0" borderId="58" xfId="0" applyNumberFormat="1" applyFont="1" applyFill="1" applyBorder="1" applyAlignment="1">
      <alignment horizontal="right"/>
    </xf>
    <xf numFmtId="3" fontId="45" fillId="0" borderId="56" xfId="0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26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Alignment="1">
      <alignment/>
    </xf>
    <xf numFmtId="0" fontId="24" fillId="7" borderId="42" xfId="0" applyFont="1" applyFill="1" applyBorder="1" applyAlignment="1">
      <alignment horizontal="left" vertical="center"/>
    </xf>
    <xf numFmtId="0" fontId="50" fillId="7" borderId="69" xfId="0" applyFont="1" applyFill="1" applyBorder="1" applyAlignment="1">
      <alignment vertical="center"/>
    </xf>
    <xf numFmtId="0" fontId="57" fillId="7" borderId="42" xfId="0" applyFont="1" applyFill="1" applyBorder="1" applyAlignment="1">
      <alignment/>
    </xf>
    <xf numFmtId="0" fontId="57" fillId="7" borderId="43" xfId="0" applyFont="1" applyFill="1" applyBorder="1" applyAlignment="1">
      <alignment/>
    </xf>
    <xf numFmtId="49" fontId="55" fillId="15" borderId="19" xfId="0" applyNumberFormat="1" applyFont="1" applyFill="1" applyBorder="1" applyAlignment="1">
      <alignment horizontal="right"/>
    </xf>
    <xf numFmtId="3" fontId="51" fillId="15" borderId="14" xfId="0" applyNumberFormat="1" applyFont="1" applyFill="1" applyBorder="1" applyAlignment="1">
      <alignment horizontal="right"/>
    </xf>
    <xf numFmtId="0" fontId="45" fillId="8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8" borderId="14" xfId="0" applyFont="1" applyFill="1" applyBorder="1" applyAlignment="1">
      <alignment/>
    </xf>
    <xf numFmtId="0" fontId="54" fillId="10" borderId="0" xfId="0" applyFont="1" applyFill="1" applyBorder="1" applyAlignment="1">
      <alignment horizontal="center"/>
    </xf>
    <xf numFmtId="0" fontId="54" fillId="10" borderId="45" xfId="0" applyFont="1" applyFill="1" applyBorder="1" applyAlignment="1">
      <alignment/>
    </xf>
    <xf numFmtId="174" fontId="45" fillId="10" borderId="46" xfId="0" applyNumberFormat="1" applyFont="1" applyFill="1" applyBorder="1" applyAlignment="1">
      <alignment horizontal="right"/>
    </xf>
    <xf numFmtId="3" fontId="53" fillId="10" borderId="33" xfId="0" applyNumberFormat="1" applyFont="1" applyFill="1" applyBorder="1" applyAlignment="1">
      <alignment horizontal="right"/>
    </xf>
    <xf numFmtId="3" fontId="53" fillId="1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51" fillId="15" borderId="14" xfId="0" applyNumberFormat="1" applyFont="1" applyFill="1" applyBorder="1" applyAlignment="1">
      <alignment/>
    </xf>
    <xf numFmtId="0" fontId="45" fillId="8" borderId="15" xfId="0" applyFont="1" applyFill="1" applyBorder="1" applyAlignment="1">
      <alignment horizontal="center"/>
    </xf>
    <xf numFmtId="0" fontId="45" fillId="8" borderId="19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174" fontId="45" fillId="0" borderId="36" xfId="0" applyNumberFormat="1" applyFont="1" applyFill="1" applyBorder="1" applyAlignment="1">
      <alignment horizontal="right"/>
    </xf>
    <xf numFmtId="3" fontId="45" fillId="0" borderId="18" xfId="0" applyNumberFormat="1" applyFont="1" applyFill="1" applyBorder="1" applyAlignment="1">
      <alignment horizontal="right"/>
    </xf>
    <xf numFmtId="0" fontId="45" fillId="0" borderId="55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39" fillId="0" borderId="15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0" fontId="37" fillId="0" borderId="53" xfId="0" applyFont="1" applyFill="1" applyBorder="1" applyAlignment="1">
      <alignment/>
    </xf>
    <xf numFmtId="174" fontId="37" fillId="0" borderId="54" xfId="0" applyNumberFormat="1" applyFont="1" applyFill="1" applyBorder="1" applyAlignment="1">
      <alignment horizontal="right"/>
    </xf>
    <xf numFmtId="3" fontId="37" fillId="0" borderId="55" xfId="0" applyNumberFormat="1" applyFont="1" applyFill="1" applyBorder="1" applyAlignment="1">
      <alignment horizontal="right"/>
    </xf>
    <xf numFmtId="3" fontId="37" fillId="0" borderId="14" xfId="0" applyNumberFormat="1" applyFont="1" applyFill="1" applyBorder="1" applyAlignment="1">
      <alignment horizontal="right"/>
    </xf>
    <xf numFmtId="0" fontId="45" fillId="0" borderId="58" xfId="0" applyFont="1" applyBorder="1" applyAlignment="1">
      <alignment horizontal="center"/>
    </xf>
    <xf numFmtId="0" fontId="45" fillId="0" borderId="70" xfId="0" applyFont="1" applyBorder="1" applyAlignment="1">
      <alignment/>
    </xf>
    <xf numFmtId="0" fontId="45" fillId="0" borderId="70" xfId="0" applyFont="1" applyBorder="1" applyAlignment="1">
      <alignment horizontal="center"/>
    </xf>
    <xf numFmtId="0" fontId="45" fillId="0" borderId="71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58" xfId="0" applyFont="1" applyBorder="1" applyAlignment="1">
      <alignment/>
    </xf>
    <xf numFmtId="0" fontId="45" fillId="0" borderId="64" xfId="0" applyFont="1" applyBorder="1" applyAlignment="1">
      <alignment/>
    </xf>
    <xf numFmtId="3" fontId="45" fillId="0" borderId="73" xfId="0" applyNumberFormat="1" applyFont="1" applyBorder="1" applyAlignment="1">
      <alignment/>
    </xf>
    <xf numFmtId="3" fontId="45" fillId="0" borderId="64" xfId="0" applyNumberFormat="1" applyFont="1" applyBorder="1" applyAlignment="1">
      <alignment/>
    </xf>
    <xf numFmtId="0" fontId="45" fillId="0" borderId="73" xfId="0" applyFont="1" applyBorder="1" applyAlignment="1">
      <alignment/>
    </xf>
    <xf numFmtId="174" fontId="60" fillId="7" borderId="34" xfId="0" applyNumberFormat="1" applyFont="1" applyFill="1" applyBorder="1" applyAlignment="1">
      <alignment/>
    </xf>
    <xf numFmtId="3" fontId="53" fillId="7" borderId="50" xfId="0" applyNumberFormat="1" applyFont="1" applyFill="1" applyBorder="1" applyAlignment="1">
      <alignment/>
    </xf>
    <xf numFmtId="3" fontId="51" fillId="7" borderId="45" xfId="0" applyNumberFormat="1" applyFont="1" applyFill="1" applyBorder="1" applyAlignment="1">
      <alignment/>
    </xf>
    <xf numFmtId="3" fontId="45" fillId="0" borderId="45" xfId="0" applyNumberFormat="1" applyFont="1" applyFill="1" applyBorder="1" applyAlignment="1">
      <alignment horizontal="right"/>
    </xf>
    <xf numFmtId="3" fontId="45" fillId="0" borderId="53" xfId="0" applyNumberFormat="1" applyFont="1" applyFill="1" applyBorder="1" applyAlignment="1">
      <alignment horizontal="right"/>
    </xf>
    <xf numFmtId="3" fontId="53" fillId="10" borderId="45" xfId="0" applyNumberFormat="1" applyFont="1" applyFill="1" applyBorder="1" applyAlignment="1">
      <alignment/>
    </xf>
    <xf numFmtId="0" fontId="0" fillId="15" borderId="53" xfId="0" applyFont="1" applyFill="1" applyBorder="1" applyAlignment="1">
      <alignment/>
    </xf>
    <xf numFmtId="3" fontId="45" fillId="0" borderId="45" xfId="0" applyNumberFormat="1" applyFont="1" applyBorder="1" applyAlignment="1">
      <alignment/>
    </xf>
    <xf numFmtId="3" fontId="45" fillId="0" borderId="53" xfId="0" applyNumberFormat="1" applyFont="1" applyBorder="1" applyAlignment="1">
      <alignment/>
    </xf>
    <xf numFmtId="0" fontId="45" fillId="7" borderId="45" xfId="0" applyFont="1" applyFill="1" applyBorder="1" applyAlignment="1">
      <alignment/>
    </xf>
    <xf numFmtId="174" fontId="45" fillId="7" borderId="46" xfId="0" applyNumberFormat="1" applyFont="1" applyFill="1" applyBorder="1" applyAlignment="1">
      <alignment horizontal="right"/>
    </xf>
    <xf numFmtId="3" fontId="51" fillId="7" borderId="33" xfId="0" applyNumberFormat="1" applyFont="1" applyFill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0" fillId="0" borderId="53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15" borderId="53" xfId="0" applyFont="1" applyFill="1" applyBorder="1" applyAlignment="1">
      <alignment/>
    </xf>
    <xf numFmtId="0" fontId="24" fillId="0" borderId="0" xfId="0" applyFont="1" applyAlignment="1">
      <alignment/>
    </xf>
    <xf numFmtId="0" fontId="45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6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53" xfId="0" applyFont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45" xfId="0" applyFont="1" applyFill="1" applyBorder="1" applyAlignment="1">
      <alignment/>
    </xf>
    <xf numFmtId="174" fontId="24" fillId="10" borderId="46" xfId="0" applyNumberFormat="1" applyFont="1" applyFill="1" applyBorder="1" applyAlignment="1">
      <alignment/>
    </xf>
    <xf numFmtId="49" fontId="56" fillId="0" borderId="59" xfId="0" applyNumberFormat="1" applyFont="1" applyFill="1" applyBorder="1" applyAlignment="1">
      <alignment horizontal="right"/>
    </xf>
    <xf numFmtId="0" fontId="45" fillId="8" borderId="68" xfId="0" applyFont="1" applyFill="1" applyBorder="1" applyAlignment="1">
      <alignment/>
    </xf>
    <xf numFmtId="0" fontId="45" fillId="8" borderId="60" xfId="0" applyFont="1" applyFill="1" applyBorder="1" applyAlignment="1">
      <alignment/>
    </xf>
    <xf numFmtId="174" fontId="45" fillId="0" borderId="61" xfId="0" applyNumberFormat="1" applyFont="1" applyFill="1" applyBorder="1" applyAlignment="1">
      <alignment horizontal="right"/>
    </xf>
    <xf numFmtId="3" fontId="45" fillId="0" borderId="60" xfId="0" applyNumberFormat="1" applyFont="1" applyFill="1" applyBorder="1" applyAlignment="1">
      <alignment horizontal="right"/>
    </xf>
    <xf numFmtId="174" fontId="0" fillId="9" borderId="65" xfId="0" applyNumberFormat="1" applyFont="1" applyFill="1" applyBorder="1" applyAlignment="1">
      <alignment horizontal="center"/>
    </xf>
    <xf numFmtId="0" fontId="50" fillId="7" borderId="26" xfId="0" applyFont="1" applyFill="1" applyBorder="1" applyAlignment="1">
      <alignment horizontal="left" vertical="center"/>
    </xf>
    <xf numFmtId="0" fontId="52" fillId="10" borderId="74" xfId="0" applyFont="1" applyFill="1" applyBorder="1" applyAlignment="1">
      <alignment horizontal="center"/>
    </xf>
    <xf numFmtId="0" fontId="54" fillId="10" borderId="75" xfId="0" applyFont="1" applyFill="1" applyBorder="1" applyAlignment="1">
      <alignment/>
    </xf>
    <xf numFmtId="0" fontId="45" fillId="10" borderId="75" xfId="0" applyFont="1" applyFill="1" applyBorder="1" applyAlignment="1">
      <alignment/>
    </xf>
    <xf numFmtId="0" fontId="45" fillId="10" borderId="76" xfId="0" applyFont="1" applyFill="1" applyBorder="1" applyAlignment="1">
      <alignment/>
    </xf>
    <xf numFmtId="174" fontId="53" fillId="10" borderId="77" xfId="0" applyNumberFormat="1" applyFont="1" applyFill="1" applyBorder="1" applyAlignment="1">
      <alignment/>
    </xf>
    <xf numFmtId="174" fontId="51" fillId="0" borderId="0" xfId="0" applyNumberFormat="1" applyFont="1" applyFill="1" applyBorder="1" applyAlignment="1">
      <alignment horizontal="right"/>
    </xf>
    <xf numFmtId="3" fontId="51" fillId="7" borderId="78" xfId="0" applyNumberFormat="1" applyFont="1" applyFill="1" applyBorder="1" applyAlignment="1">
      <alignment/>
    </xf>
    <xf numFmtId="3" fontId="51" fillId="7" borderId="55" xfId="0" applyNumberFormat="1" applyFont="1" applyFill="1" applyBorder="1" applyAlignment="1">
      <alignment/>
    </xf>
    <xf numFmtId="3" fontId="51" fillId="7" borderId="79" xfId="0" applyNumberFormat="1" applyFont="1" applyFill="1" applyBorder="1" applyAlignment="1">
      <alignment/>
    </xf>
    <xf numFmtId="3" fontId="51" fillId="15" borderId="37" xfId="0" applyNumberFormat="1" applyFont="1" applyFill="1" applyBorder="1" applyAlignment="1">
      <alignment horizontal="right"/>
    </xf>
    <xf numFmtId="0" fontId="54" fillId="1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/>
    </xf>
    <xf numFmtId="49" fontId="55" fillId="15" borderId="0" xfId="0" applyNumberFormat="1" applyFont="1" applyFill="1" applyBorder="1" applyAlignment="1">
      <alignment horizontal="right"/>
    </xf>
    <xf numFmtId="174" fontId="51" fillId="7" borderId="46" xfId="0" applyNumberFormat="1" applyFont="1" applyFill="1" applyBorder="1" applyAlignment="1">
      <alignment horizontal="right"/>
    </xf>
    <xf numFmtId="3" fontId="45" fillId="15" borderId="55" xfId="0" applyNumberFormat="1" applyFont="1" applyFill="1" applyBorder="1" applyAlignment="1">
      <alignment horizontal="right"/>
    </xf>
    <xf numFmtId="0" fontId="47" fillId="0" borderId="33" xfId="0" applyFont="1" applyBorder="1" applyAlignment="1">
      <alignment horizontal="center"/>
    </xf>
    <xf numFmtId="174" fontId="51" fillId="0" borderId="14" xfId="0" applyNumberFormat="1" applyFont="1" applyFill="1" applyBorder="1" applyAlignment="1">
      <alignment horizontal="right"/>
    </xf>
    <xf numFmtId="3" fontId="47" fillId="0" borderId="55" xfId="0" applyNumberFormat="1" applyFont="1" applyFill="1" applyBorder="1" applyAlignment="1">
      <alignment horizontal="right"/>
    </xf>
    <xf numFmtId="0" fontId="45" fillId="0" borderId="21" xfId="0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174" fontId="51" fillId="0" borderId="36" xfId="0" applyNumberFormat="1" applyFont="1" applyFill="1" applyBorder="1" applyAlignment="1">
      <alignment horizontal="right"/>
    </xf>
    <xf numFmtId="0" fontId="45" fillId="0" borderId="33" xfId="0" applyFont="1" applyFill="1" applyBorder="1" applyAlignment="1">
      <alignment horizontal="center"/>
    </xf>
    <xf numFmtId="0" fontId="54" fillId="10" borderId="0" xfId="0" applyFont="1" applyFill="1" applyBorder="1" applyAlignment="1">
      <alignment/>
    </xf>
    <xf numFmtId="0" fontId="54" fillId="10" borderId="14" xfId="0" applyFont="1" applyFill="1" applyBorder="1" applyAlignment="1">
      <alignment/>
    </xf>
    <xf numFmtId="3" fontId="53" fillId="10" borderId="33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51" fillId="7" borderId="80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7" borderId="38" xfId="0" applyFont="1" applyFill="1" applyBorder="1" applyAlignment="1">
      <alignment/>
    </xf>
    <xf numFmtId="174" fontId="51" fillId="7" borderId="65" xfId="0" applyNumberFormat="1" applyFont="1" applyFill="1" applyBorder="1" applyAlignment="1">
      <alignment/>
    </xf>
    <xf numFmtId="0" fontId="53" fillId="15" borderId="20" xfId="0" applyFont="1" applyFill="1" applyBorder="1" applyAlignment="1">
      <alignment/>
    </xf>
    <xf numFmtId="0" fontId="45" fillId="15" borderId="0" xfId="0" applyFont="1" applyFill="1" applyBorder="1" applyAlignment="1">
      <alignment/>
    </xf>
    <xf numFmtId="0" fontId="45" fillId="15" borderId="45" xfId="0" applyFont="1" applyFill="1" applyBorder="1" applyAlignment="1">
      <alignment/>
    </xf>
    <xf numFmtId="174" fontId="51" fillId="15" borderId="46" xfId="0" applyNumberFormat="1" applyFont="1" applyFill="1" applyBorder="1" applyAlignment="1">
      <alignment horizontal="right"/>
    </xf>
    <xf numFmtId="3" fontId="51" fillId="15" borderId="33" xfId="0" applyNumberFormat="1" applyFont="1" applyFill="1" applyBorder="1" applyAlignment="1">
      <alignment horizontal="right"/>
    </xf>
    <xf numFmtId="0" fontId="56" fillId="0" borderId="0" xfId="0" applyFont="1" applyBorder="1" applyAlignment="1">
      <alignment/>
    </xf>
    <xf numFmtId="4" fontId="45" fillId="0" borderId="55" xfId="0" applyNumberFormat="1" applyFont="1" applyBorder="1" applyAlignment="1">
      <alignment/>
    </xf>
    <xf numFmtId="0" fontId="0" fillId="0" borderId="62" xfId="0" applyBorder="1" applyAlignment="1">
      <alignment horizontal="center"/>
    </xf>
    <xf numFmtId="4" fontId="45" fillId="0" borderId="64" xfId="0" applyNumberFormat="1" applyFont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53" xfId="0" applyFont="1" applyFill="1" applyBorder="1" applyAlignment="1">
      <alignment/>
    </xf>
    <xf numFmtId="174" fontId="62" fillId="0" borderId="54" xfId="0" applyNumberFormat="1" applyFont="1" applyFill="1" applyBorder="1" applyAlignment="1">
      <alignment horizontal="right"/>
    </xf>
    <xf numFmtId="0" fontId="45" fillId="0" borderId="57" xfId="0" applyFont="1" applyFill="1" applyBorder="1" applyAlignment="1">
      <alignment horizontal="center"/>
    </xf>
    <xf numFmtId="0" fontId="45" fillId="0" borderId="58" xfId="0" applyFont="1" applyFill="1" applyBorder="1" applyAlignment="1">
      <alignment/>
    </xf>
    <xf numFmtId="0" fontId="52" fillId="10" borderId="81" xfId="0" applyFont="1" applyFill="1" applyBorder="1" applyAlignment="1">
      <alignment horizontal="center"/>
    </xf>
    <xf numFmtId="0" fontId="45" fillId="0" borderId="46" xfId="0" applyFont="1" applyBorder="1" applyAlignment="1">
      <alignment horizontal="center"/>
    </xf>
    <xf numFmtId="49" fontId="45" fillId="0" borderId="70" xfId="0" applyNumberFormat="1" applyFont="1" applyFill="1" applyBorder="1" applyAlignment="1">
      <alignment horizontal="center"/>
    </xf>
    <xf numFmtId="0" fontId="45" fillId="8" borderId="73" xfId="0" applyFont="1" applyFill="1" applyBorder="1" applyAlignment="1">
      <alignment/>
    </xf>
    <xf numFmtId="0" fontId="45" fillId="8" borderId="82" xfId="0" applyFont="1" applyFill="1" applyBorder="1" applyAlignment="1">
      <alignment/>
    </xf>
    <xf numFmtId="174" fontId="45" fillId="0" borderId="63" xfId="0" applyNumberFormat="1" applyFont="1" applyFill="1" applyBorder="1" applyAlignment="1">
      <alignment horizontal="right"/>
    </xf>
    <xf numFmtId="3" fontId="45" fillId="0" borderId="64" xfId="0" applyNumberFormat="1" applyFont="1" applyFill="1" applyBorder="1" applyAlignment="1">
      <alignment horizontal="right"/>
    </xf>
    <xf numFmtId="0" fontId="60" fillId="7" borderId="42" xfId="0" applyFont="1" applyFill="1" applyBorder="1" applyAlignment="1">
      <alignment vertical="center"/>
    </xf>
    <xf numFmtId="0" fontId="63" fillId="7" borderId="42" xfId="0" applyFont="1" applyFill="1" applyBorder="1" applyAlignment="1">
      <alignment/>
    </xf>
    <xf numFmtId="0" fontId="63" fillId="7" borderId="43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174" fontId="51" fillId="0" borderId="46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53" fillId="0" borderId="53" xfId="0" applyFont="1" applyFill="1" applyBorder="1" applyAlignment="1">
      <alignment/>
    </xf>
    <xf numFmtId="174" fontId="51" fillId="0" borderId="54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/>
    </xf>
    <xf numFmtId="174" fontId="49" fillId="0" borderId="46" xfId="0" applyNumberFormat="1" applyFont="1" applyFill="1" applyBorder="1" applyAlignment="1">
      <alignment/>
    </xf>
    <xf numFmtId="174" fontId="49" fillId="0" borderId="54" xfId="0" applyNumberFormat="1" applyFont="1" applyFill="1" applyBorder="1" applyAlignment="1">
      <alignment/>
    </xf>
    <xf numFmtId="3" fontId="51" fillId="7" borderId="0" xfId="0" applyNumberFormat="1" applyFont="1" applyFill="1" applyBorder="1" applyAlignment="1">
      <alignment horizontal="right"/>
    </xf>
    <xf numFmtId="3" fontId="51" fillId="3" borderId="0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45" fillId="8" borderId="40" xfId="0" applyFont="1" applyFill="1" applyBorder="1" applyAlignment="1">
      <alignment/>
    </xf>
    <xf numFmtId="3" fontId="45" fillId="0" borderId="78" xfId="0" applyNumberFormat="1" applyFont="1" applyFill="1" applyBorder="1" applyAlignment="1">
      <alignment horizontal="right"/>
    </xf>
    <xf numFmtId="3" fontId="45" fillId="0" borderId="79" xfId="0" applyNumberFormat="1" applyFont="1" applyFill="1" applyBorder="1" applyAlignment="1">
      <alignment horizontal="right"/>
    </xf>
    <xf numFmtId="49" fontId="51" fillId="3" borderId="0" xfId="0" applyNumberFormat="1" applyFont="1" applyFill="1" applyBorder="1" applyAlignment="1">
      <alignment horizontal="right"/>
    </xf>
    <xf numFmtId="0" fontId="45" fillId="3" borderId="45" xfId="0" applyFont="1" applyFill="1" applyBorder="1" applyAlignment="1">
      <alignment/>
    </xf>
    <xf numFmtId="174" fontId="45" fillId="3" borderId="46" xfId="0" applyNumberFormat="1" applyFont="1" applyFill="1" applyBorder="1" applyAlignment="1">
      <alignment horizontal="right"/>
    </xf>
    <xf numFmtId="3" fontId="45" fillId="7" borderId="33" xfId="0" applyNumberFormat="1" applyFont="1" applyFill="1" applyBorder="1" applyAlignment="1">
      <alignment horizontal="right"/>
    </xf>
    <xf numFmtId="3" fontId="45" fillId="7" borderId="0" xfId="0" applyNumberFormat="1" applyFont="1" applyFill="1" applyBorder="1" applyAlignment="1">
      <alignment horizontal="right"/>
    </xf>
    <xf numFmtId="0" fontId="51" fillId="0" borderId="23" xfId="0" applyFont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0" fontId="37" fillId="8" borderId="0" xfId="0" applyFont="1" applyFill="1" applyBorder="1" applyAlignment="1">
      <alignment/>
    </xf>
    <xf numFmtId="4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45" fillId="0" borderId="81" xfId="0" applyFont="1" applyFill="1" applyBorder="1" applyAlignment="1">
      <alignment horizontal="center"/>
    </xf>
    <xf numFmtId="0" fontId="50" fillId="7" borderId="69" xfId="0" applyFont="1" applyFill="1" applyBorder="1" applyAlignment="1">
      <alignment horizontal="left" vertical="center"/>
    </xf>
    <xf numFmtId="3" fontId="24" fillId="7" borderId="35" xfId="0" applyNumberFormat="1" applyFont="1" applyFill="1" applyBorder="1" applyAlignment="1">
      <alignment/>
    </xf>
    <xf numFmtId="0" fontId="45" fillId="0" borderId="66" xfId="0" applyFont="1" applyFill="1" applyBorder="1" applyAlignment="1">
      <alignment horizontal="center"/>
    </xf>
    <xf numFmtId="0" fontId="52" fillId="10" borderId="19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61" fillId="8" borderId="13" xfId="0" applyFont="1" applyFill="1" applyBorder="1" applyAlignment="1">
      <alignment/>
    </xf>
    <xf numFmtId="0" fontId="64" fillId="8" borderId="53" xfId="0" applyFont="1" applyFill="1" applyBorder="1" applyAlignment="1">
      <alignment/>
    </xf>
    <xf numFmtId="174" fontId="64" fillId="0" borderId="54" xfId="0" applyNumberFormat="1" applyFont="1" applyFill="1" applyBorder="1" applyAlignment="1">
      <alignment horizontal="right"/>
    </xf>
    <xf numFmtId="3" fontId="61" fillId="0" borderId="55" xfId="0" applyNumberFormat="1" applyFont="1" applyFill="1" applyBorder="1" applyAlignment="1">
      <alignment horizontal="right"/>
    </xf>
    <xf numFmtId="3" fontId="61" fillId="0" borderId="55" xfId="0" applyNumberFormat="1" applyFont="1" applyFill="1" applyBorder="1" applyAlignment="1">
      <alignment horizontal="left"/>
    </xf>
    <xf numFmtId="3" fontId="61" fillId="0" borderId="14" xfId="0" applyNumberFormat="1" applyFont="1" applyFill="1" applyBorder="1" applyAlignment="1">
      <alignment horizontal="right"/>
    </xf>
    <xf numFmtId="49" fontId="45" fillId="0" borderId="23" xfId="0" applyNumberFormat="1" applyFont="1" applyFill="1" applyBorder="1" applyAlignment="1">
      <alignment horizontal="right"/>
    </xf>
    <xf numFmtId="0" fontId="52" fillId="8" borderId="19" xfId="0" applyFont="1" applyFill="1" applyBorder="1" applyAlignment="1">
      <alignment horizontal="center"/>
    </xf>
    <xf numFmtId="0" fontId="54" fillId="8" borderId="83" xfId="0" applyFont="1" applyFill="1" applyBorder="1" applyAlignment="1">
      <alignment/>
    </xf>
    <xf numFmtId="0" fontId="61" fillId="8" borderId="14" xfId="0" applyFont="1" applyFill="1" applyBorder="1" applyAlignment="1">
      <alignment/>
    </xf>
    <xf numFmtId="0" fontId="65" fillId="8" borderId="84" xfId="0" applyFont="1" applyFill="1" applyBorder="1" applyAlignment="1">
      <alignment/>
    </xf>
    <xf numFmtId="174" fontId="62" fillId="8" borderId="85" xfId="0" applyNumberFormat="1" applyFont="1" applyFill="1" applyBorder="1" applyAlignment="1">
      <alignment/>
    </xf>
    <xf numFmtId="3" fontId="61" fillId="8" borderId="55" xfId="0" applyNumberFormat="1" applyFont="1" applyFill="1" applyBorder="1" applyAlignment="1">
      <alignment/>
    </xf>
    <xf numFmtId="0" fontId="65" fillId="8" borderId="14" xfId="0" applyFont="1" applyFill="1" applyBorder="1" applyAlignment="1">
      <alignment/>
    </xf>
    <xf numFmtId="174" fontId="62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174" fontId="51" fillId="8" borderId="14" xfId="0" applyNumberFormat="1" applyFont="1" applyFill="1" applyBorder="1" applyAlignment="1">
      <alignment/>
    </xf>
    <xf numFmtId="3" fontId="45" fillId="8" borderId="55" xfId="0" applyNumberFormat="1" applyFont="1" applyFill="1" applyBorder="1" applyAlignment="1">
      <alignment/>
    </xf>
    <xf numFmtId="0" fontId="64" fillId="8" borderId="22" xfId="0" applyFont="1" applyFill="1" applyBorder="1" applyAlignment="1">
      <alignment/>
    </xf>
    <xf numFmtId="174" fontId="64" fillId="0" borderId="0" xfId="0" applyNumberFormat="1" applyFont="1" applyFill="1" applyBorder="1" applyAlignment="1">
      <alignment horizontal="right"/>
    </xf>
    <xf numFmtId="3" fontId="61" fillId="8" borderId="15" xfId="0" applyNumberFormat="1" applyFont="1" applyFill="1" applyBorder="1" applyAlignment="1">
      <alignment/>
    </xf>
    <xf numFmtId="0" fontId="47" fillId="0" borderId="45" xfId="0" applyFont="1" applyFill="1" applyBorder="1" applyAlignment="1">
      <alignment/>
    </xf>
    <xf numFmtId="174" fontId="47" fillId="0" borderId="46" xfId="0" applyNumberFormat="1" applyFont="1" applyFill="1" applyBorder="1" applyAlignment="1">
      <alignment horizontal="right"/>
    </xf>
    <xf numFmtId="0" fontId="45" fillId="0" borderId="59" xfId="0" applyFont="1" applyBorder="1" applyAlignment="1">
      <alignment horizontal="center"/>
    </xf>
    <xf numFmtId="49" fontId="56" fillId="0" borderId="62" xfId="0" applyNumberFormat="1" applyFont="1" applyFill="1" applyBorder="1" applyAlignment="1">
      <alignment horizontal="right"/>
    </xf>
    <xf numFmtId="174" fontId="26" fillId="0" borderId="0" xfId="0" applyNumberFormat="1" applyFont="1" applyAlignment="1">
      <alignment/>
    </xf>
    <xf numFmtId="0" fontId="50" fillId="7" borderId="27" xfId="0" applyFont="1" applyFill="1" applyBorder="1" applyAlignment="1">
      <alignment horizontal="left" vertical="center"/>
    </xf>
    <xf numFmtId="174" fontId="50" fillId="7" borderId="65" xfId="0" applyNumberFormat="1" applyFont="1" applyFill="1" applyBorder="1" applyAlignment="1">
      <alignment/>
    </xf>
    <xf numFmtId="3" fontId="50" fillId="7" borderId="37" xfId="0" applyNumberFormat="1" applyFont="1" applyFill="1" applyBorder="1" applyAlignment="1">
      <alignment/>
    </xf>
    <xf numFmtId="3" fontId="24" fillId="7" borderId="37" xfId="0" applyNumberFormat="1" applyFont="1" applyFill="1" applyBorder="1" applyAlignment="1">
      <alignment/>
    </xf>
    <xf numFmtId="175" fontId="53" fillId="10" borderId="46" xfId="0" applyNumberFormat="1" applyFont="1" applyFill="1" applyBorder="1" applyAlignment="1">
      <alignment/>
    </xf>
    <xf numFmtId="3" fontId="53" fillId="10" borderId="46" xfId="0" applyNumberFormat="1" applyFont="1" applyFill="1" applyBorder="1" applyAlignment="1">
      <alignment/>
    </xf>
    <xf numFmtId="175" fontId="51" fillId="7" borderId="46" xfId="0" applyNumberFormat="1" applyFont="1" applyFill="1" applyBorder="1" applyAlignment="1">
      <alignment/>
    </xf>
    <xf numFmtId="3" fontId="51" fillId="7" borderId="46" xfId="0" applyNumberFormat="1" applyFont="1" applyFill="1" applyBorder="1" applyAlignment="1">
      <alignment/>
    </xf>
    <xf numFmtId="175" fontId="51" fillId="15" borderId="54" xfId="0" applyNumberFormat="1" applyFont="1" applyFill="1" applyBorder="1" applyAlignment="1">
      <alignment horizontal="right"/>
    </xf>
    <xf numFmtId="3" fontId="53" fillId="10" borderId="46" xfId="0" applyNumberFormat="1" applyFont="1" applyFill="1" applyBorder="1" applyAlignment="1">
      <alignment/>
    </xf>
    <xf numFmtId="3" fontId="51" fillId="15" borderId="54" xfId="0" applyNumberFormat="1" applyFont="1" applyFill="1" applyBorder="1" applyAlignment="1">
      <alignment/>
    </xf>
    <xf numFmtId="3" fontId="45" fillId="0" borderId="54" xfId="0" applyNumberFormat="1" applyFont="1" applyFill="1" applyBorder="1" applyAlignment="1">
      <alignment horizontal="right"/>
    </xf>
    <xf numFmtId="174" fontId="45" fillId="7" borderId="0" xfId="0" applyNumberFormat="1" applyFont="1" applyFill="1" applyBorder="1" applyAlignment="1">
      <alignment horizontal="right"/>
    </xf>
    <xf numFmtId="0" fontId="24" fillId="10" borderId="23" xfId="0" applyFont="1" applyFill="1" applyBorder="1" applyAlignment="1">
      <alignment horizontal="center"/>
    </xf>
    <xf numFmtId="0" fontId="0" fillId="10" borderId="86" xfId="0" applyFont="1" applyFill="1" applyBorder="1" applyAlignment="1">
      <alignment/>
    </xf>
    <xf numFmtId="174" fontId="0" fillId="10" borderId="46" xfId="0" applyNumberFormat="1" applyFont="1" applyFill="1" applyBorder="1" applyAlignment="1">
      <alignment horizontal="right"/>
    </xf>
    <xf numFmtId="3" fontId="53" fillId="10" borderId="46" xfId="0" applyNumberFormat="1" applyFont="1" applyFill="1" applyBorder="1" applyAlignment="1">
      <alignment horizontal="right"/>
    </xf>
    <xf numFmtId="3" fontId="45" fillId="7" borderId="46" xfId="0" applyNumberFormat="1" applyFont="1" applyFill="1" applyBorder="1" applyAlignment="1">
      <alignment horizontal="right"/>
    </xf>
    <xf numFmtId="3" fontId="45" fillId="15" borderId="54" xfId="0" applyNumberFormat="1" applyFont="1" applyFill="1" applyBorder="1" applyAlignment="1">
      <alignment horizontal="right"/>
    </xf>
    <xf numFmtId="0" fontId="61" fillId="8" borderId="53" xfId="0" applyFont="1" applyFill="1" applyBorder="1" applyAlignment="1">
      <alignment/>
    </xf>
    <xf numFmtId="174" fontId="61" fillId="0" borderId="54" xfId="0" applyNumberFormat="1" applyFont="1" applyFill="1" applyBorder="1" applyAlignment="1">
      <alignment horizontal="right"/>
    </xf>
    <xf numFmtId="3" fontId="61" fillId="0" borderId="54" xfId="0" applyNumberFormat="1" applyFont="1" applyFill="1" applyBorder="1" applyAlignment="1">
      <alignment horizontal="right"/>
    </xf>
    <xf numFmtId="0" fontId="61" fillId="8" borderId="68" xfId="0" applyFont="1" applyFill="1" applyBorder="1" applyAlignment="1">
      <alignment/>
    </xf>
    <xf numFmtId="174" fontId="45" fillId="0" borderId="56" xfId="0" applyNumberFormat="1" applyFont="1" applyFill="1" applyBorder="1" applyAlignment="1">
      <alignment horizontal="right"/>
    </xf>
    <xf numFmtId="3" fontId="45" fillId="0" borderId="56" xfId="0" applyNumberFormat="1" applyFont="1" applyBorder="1" applyAlignment="1">
      <alignment/>
    </xf>
    <xf numFmtId="3" fontId="45" fillId="0" borderId="61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0" fontId="24" fillId="10" borderId="77" xfId="0" applyFont="1" applyFill="1" applyBorder="1" applyAlignment="1">
      <alignment vertical="center"/>
    </xf>
    <xf numFmtId="0" fontId="24" fillId="10" borderId="76" xfId="0" applyFont="1" applyFill="1" applyBorder="1" applyAlignment="1">
      <alignment vertical="center"/>
    </xf>
    <xf numFmtId="0" fontId="24" fillId="10" borderId="46" xfId="0" applyFont="1" applyFill="1" applyBorder="1" applyAlignment="1">
      <alignment horizontal="left" vertical="center"/>
    </xf>
    <xf numFmtId="0" fontId="24" fillId="10" borderId="0" xfId="0" applyFont="1" applyFill="1" applyBorder="1" applyAlignment="1">
      <alignment horizontal="left" vertical="center"/>
    </xf>
    <xf numFmtId="0" fontId="49" fillId="10" borderId="34" xfId="0" applyFont="1" applyFill="1" applyBorder="1" applyAlignment="1">
      <alignment horizontal="center"/>
    </xf>
    <xf numFmtId="174" fontId="0" fillId="10" borderId="37" xfId="0" applyNumberFormat="1" applyFont="1" applyFill="1" applyBorder="1" applyAlignment="1">
      <alignment horizontal="center"/>
    </xf>
    <xf numFmtId="174" fontId="0" fillId="10" borderId="38" xfId="0" applyNumberFormat="1" applyFont="1" applyFill="1" applyBorder="1" applyAlignment="1">
      <alignment horizontal="center"/>
    </xf>
    <xf numFmtId="0" fontId="24" fillId="10" borderId="61" xfId="0" applyFont="1" applyFill="1" applyBorder="1" applyAlignment="1">
      <alignment horizontal="left" vertical="center"/>
    </xf>
    <xf numFmtId="0" fontId="24" fillId="10" borderId="58" xfId="0" applyFont="1" applyFill="1" applyBorder="1" applyAlignment="1">
      <alignment horizontal="left" vertical="center"/>
    </xf>
    <xf numFmtId="1" fontId="0" fillId="10" borderId="36" xfId="0" applyNumberFormat="1" applyFont="1" applyFill="1" applyBorder="1" applyAlignment="1">
      <alignment horizontal="center" vertical="center"/>
    </xf>
    <xf numFmtId="1" fontId="0" fillId="10" borderId="39" xfId="0" applyNumberFormat="1" applyFont="1" applyFill="1" applyBorder="1" applyAlignment="1">
      <alignment horizontal="center" vertical="center"/>
    </xf>
    <xf numFmtId="1" fontId="0" fillId="10" borderId="40" xfId="0" applyNumberFormat="1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3" fontId="66" fillId="0" borderId="41" xfId="0" applyNumberFormat="1" applyFont="1" applyBorder="1" applyAlignment="1">
      <alignment/>
    </xf>
    <xf numFmtId="0" fontId="66" fillId="0" borderId="4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55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24" fillId="15" borderId="28" xfId="0" applyFont="1" applyFill="1" applyBorder="1" applyAlignment="1">
      <alignment/>
    </xf>
    <xf numFmtId="0" fontId="24" fillId="15" borderId="29" xfId="0" applyFont="1" applyFill="1" applyBorder="1" applyAlignment="1">
      <alignment/>
    </xf>
    <xf numFmtId="3" fontId="24" fillId="15" borderId="31" xfId="0" applyNumberFormat="1" applyFont="1" applyFill="1" applyBorder="1" applyAlignment="1">
      <alignment/>
    </xf>
    <xf numFmtId="4" fontId="24" fillId="15" borderId="31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24" fillId="0" borderId="4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54" fillId="0" borderId="54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0" fillId="0" borderId="66" xfId="0" applyFont="1" applyBorder="1" applyAlignment="1">
      <alignment/>
    </xf>
    <xf numFmtId="0" fontId="0" fillId="0" borderId="20" xfId="0" applyFont="1" applyBorder="1" applyAlignment="1">
      <alignment/>
    </xf>
    <xf numFmtId="0" fontId="24" fillId="15" borderId="87" xfId="0" applyFont="1" applyFill="1" applyBorder="1" applyAlignment="1">
      <alignment/>
    </xf>
    <xf numFmtId="0" fontId="0" fillId="0" borderId="28" xfId="0" applyFont="1" applyBorder="1" applyAlignment="1">
      <alignment/>
    </xf>
    <xf numFmtId="3" fontId="24" fillId="7" borderId="31" xfId="0" applyNumberFormat="1" applyFont="1" applyFill="1" applyBorder="1" applyAlignment="1">
      <alignment/>
    </xf>
    <xf numFmtId="1" fontId="0" fillId="10" borderId="63" xfId="0" applyNumberFormat="1" applyFont="1" applyFill="1" applyBorder="1" applyAlignment="1">
      <alignment horizontal="center" vertical="center"/>
    </xf>
    <xf numFmtId="1" fontId="0" fillId="10" borderId="64" xfId="0" applyNumberFormat="1" applyFont="1" applyFill="1" applyBorder="1" applyAlignment="1">
      <alignment horizontal="center" vertical="center"/>
    </xf>
    <xf numFmtId="1" fontId="0" fillId="10" borderId="82" xfId="0" applyNumberFormat="1" applyFont="1" applyFill="1" applyBorder="1" applyAlignment="1">
      <alignment horizontal="center" vertical="center"/>
    </xf>
    <xf numFmtId="3" fontId="0" fillId="15" borderId="26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4" fontId="0" fillId="15" borderId="80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4" fontId="0" fillId="3" borderId="78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4" fontId="0" fillId="4" borderId="78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45" xfId="0" applyNumberFormat="1" applyBorder="1" applyAlignment="1">
      <alignment/>
    </xf>
    <xf numFmtId="3" fontId="0" fillId="15" borderId="22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/>
    </xf>
    <xf numFmtId="3" fontId="0" fillId="15" borderId="15" xfId="0" applyNumberFormat="1" applyFill="1" applyBorder="1" applyAlignment="1">
      <alignment/>
    </xf>
    <xf numFmtId="4" fontId="0" fillId="15" borderId="78" xfId="0" applyNumberForma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4" fontId="0" fillId="3" borderId="78" xfId="0" applyNumberForma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4" fontId="0" fillId="4" borderId="78" xfId="0" applyNumberFormat="1" applyFont="1" applyFill="1" applyBorder="1" applyAlignment="1">
      <alignment/>
    </xf>
    <xf numFmtId="3" fontId="0" fillId="4" borderId="72" xfId="0" applyNumberFormat="1" applyFont="1" applyFill="1" applyBorder="1" applyAlignment="1">
      <alignment/>
    </xf>
    <xf numFmtId="3" fontId="0" fillId="4" borderId="70" xfId="0" applyNumberFormat="1" applyFont="1" applyFill="1" applyBorder="1" applyAlignment="1">
      <alignment/>
    </xf>
    <xf numFmtId="3" fontId="0" fillId="4" borderId="88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4" borderId="15" xfId="0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0" fontId="24" fillId="7" borderId="14" xfId="0" applyFont="1" applyFill="1" applyBorder="1" applyAlignment="1">
      <alignment/>
    </xf>
    <xf numFmtId="0" fontId="24" fillId="7" borderId="22" xfId="0" applyFont="1" applyFill="1" applyBorder="1" applyAlignment="1">
      <alignment/>
    </xf>
    <xf numFmtId="3" fontId="24" fillId="0" borderId="15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0" fontId="0" fillId="15" borderId="13" xfId="0" applyFont="1" applyFill="1" applyBorder="1" applyAlignment="1">
      <alignment/>
    </xf>
    <xf numFmtId="0" fontId="24" fillId="15" borderId="14" xfId="0" applyFont="1" applyFill="1" applyBorder="1" applyAlignment="1">
      <alignment/>
    </xf>
    <xf numFmtId="0" fontId="24" fillId="15" borderId="22" xfId="0" applyFont="1" applyFill="1" applyBorder="1" applyAlignment="1">
      <alignment/>
    </xf>
    <xf numFmtId="2" fontId="0" fillId="15" borderId="15" xfId="0" applyNumberFormat="1" applyFill="1" applyBorder="1" applyAlignment="1">
      <alignment/>
    </xf>
    <xf numFmtId="0" fontId="0" fillId="3" borderId="13" xfId="0" applyFont="1" applyFill="1" applyBorder="1" applyAlignment="1">
      <alignment/>
    </xf>
    <xf numFmtId="0" fontId="24" fillId="3" borderId="14" xfId="0" applyFont="1" applyFill="1" applyBorder="1" applyAlignment="1">
      <alignment/>
    </xf>
    <xf numFmtId="0" fontId="24" fillId="3" borderId="14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2" fontId="0" fillId="3" borderId="15" xfId="0" applyNumberForma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22" xfId="0" applyFill="1" applyBorder="1" applyAlignment="1">
      <alignment/>
    </xf>
    <xf numFmtId="3" fontId="0" fillId="10" borderId="15" xfId="0" applyNumberFormat="1" applyFill="1" applyBorder="1" applyAlignment="1">
      <alignment/>
    </xf>
    <xf numFmtId="2" fontId="0" fillId="10" borderId="15" xfId="0" applyNumberFormat="1" applyFill="1" applyBorder="1" applyAlignment="1">
      <alignment/>
    </xf>
    <xf numFmtId="0" fontId="24" fillId="15" borderId="13" xfId="0" applyFont="1" applyFill="1" applyBorder="1" applyAlignment="1">
      <alignment/>
    </xf>
    <xf numFmtId="0" fontId="24" fillId="15" borderId="14" xfId="0" applyFont="1" applyFill="1" applyBorder="1" applyAlignment="1">
      <alignment/>
    </xf>
    <xf numFmtId="0" fontId="24" fillId="15" borderId="22" xfId="0" applyFont="1" applyFill="1" applyBorder="1" applyAlignment="1">
      <alignment/>
    </xf>
    <xf numFmtId="3" fontId="24" fillId="15" borderId="15" xfId="0" applyNumberFormat="1" applyFont="1" applyFill="1" applyBorder="1" applyAlignment="1">
      <alignment/>
    </xf>
    <xf numFmtId="3" fontId="24" fillId="15" borderId="14" xfId="0" applyNumberFormat="1" applyFont="1" applyFill="1" applyBorder="1" applyAlignment="1">
      <alignment/>
    </xf>
    <xf numFmtId="2" fontId="24" fillId="15" borderId="15" xfId="0" applyNumberFormat="1" applyFont="1" applyFill="1" applyBorder="1" applyAlignment="1">
      <alignment/>
    </xf>
    <xf numFmtId="0" fontId="24" fillId="3" borderId="13" xfId="0" applyFont="1" applyFill="1" applyBorder="1" applyAlignment="1">
      <alignment/>
    </xf>
    <xf numFmtId="0" fontId="24" fillId="3" borderId="14" xfId="0" applyFont="1" applyFill="1" applyBorder="1" applyAlignment="1">
      <alignment/>
    </xf>
    <xf numFmtId="0" fontId="24" fillId="3" borderId="22" xfId="0" applyFont="1" applyFill="1" applyBorder="1" applyAlignment="1">
      <alignment/>
    </xf>
    <xf numFmtId="3" fontId="24" fillId="3" borderId="19" xfId="0" applyNumberFormat="1" applyFont="1" applyFill="1" applyBorder="1" applyAlignment="1">
      <alignment/>
    </xf>
    <xf numFmtId="3" fontId="24" fillId="3" borderId="0" xfId="0" applyNumberFormat="1" applyFont="1" applyFill="1" applyAlignment="1">
      <alignment/>
    </xf>
    <xf numFmtId="2" fontId="24" fillId="3" borderId="19" xfId="0" applyNumberFormat="1" applyFont="1" applyFill="1" applyBorder="1" applyAlignment="1">
      <alignment/>
    </xf>
    <xf numFmtId="0" fontId="24" fillId="10" borderId="13" xfId="0" applyFont="1" applyFill="1" applyBorder="1" applyAlignment="1">
      <alignment/>
    </xf>
    <xf numFmtId="0" fontId="24" fillId="10" borderId="14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3" fontId="24" fillId="10" borderId="15" xfId="0" applyNumberFormat="1" applyFont="1" applyFill="1" applyBorder="1" applyAlignment="1">
      <alignment/>
    </xf>
    <xf numFmtId="3" fontId="24" fillId="10" borderId="14" xfId="0" applyNumberFormat="1" applyFont="1" applyFill="1" applyBorder="1" applyAlignment="1">
      <alignment/>
    </xf>
    <xf numFmtId="2" fontId="24" fillId="10" borderId="15" xfId="0" applyNumberFormat="1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4" fillId="4" borderId="14" xfId="0" applyFont="1" applyFill="1" applyBorder="1" applyAlignment="1">
      <alignment/>
    </xf>
    <xf numFmtId="0" fontId="24" fillId="4" borderId="22" xfId="0" applyFont="1" applyFill="1" applyBorder="1" applyAlignment="1">
      <alignment/>
    </xf>
    <xf numFmtId="3" fontId="24" fillId="4" borderId="15" xfId="0" applyNumberFormat="1" applyFont="1" applyFill="1" applyBorder="1" applyAlignment="1">
      <alignment/>
    </xf>
    <xf numFmtId="3" fontId="24" fillId="4" borderId="14" xfId="0" applyNumberFormat="1" applyFont="1" applyFill="1" applyBorder="1" applyAlignment="1">
      <alignment/>
    </xf>
    <xf numFmtId="2" fontId="24" fillId="4" borderId="15" xfId="0" applyNumberFormat="1" applyFont="1" applyFill="1" applyBorder="1" applyAlignment="1">
      <alignment/>
    </xf>
    <xf numFmtId="4" fontId="5" fillId="0" borderId="0" xfId="586" applyNumberFormat="1" applyFont="1" applyBorder="1">
      <alignment/>
      <protection/>
    </xf>
    <xf numFmtId="4" fontId="5" fillId="0" borderId="0" xfId="586" applyNumberFormat="1" applyFont="1" applyBorder="1" applyAlignment="1">
      <alignment horizontal="center"/>
      <protection/>
    </xf>
    <xf numFmtId="173" fontId="26" fillId="0" borderId="0" xfId="565" applyFont="1" applyFill="1" applyBorder="1" applyAlignment="1" applyProtection="1">
      <alignment/>
      <protection/>
    </xf>
    <xf numFmtId="0" fontId="32" fillId="3" borderId="0" xfId="586" applyFont="1" applyFill="1" applyBorder="1">
      <alignment/>
      <protection/>
    </xf>
    <xf numFmtId="4" fontId="32" fillId="0" borderId="0" xfId="586" applyNumberFormat="1" applyFont="1" applyBorder="1">
      <alignment/>
      <protection/>
    </xf>
    <xf numFmtId="0" fontId="44" fillId="7" borderId="13" xfId="586" applyFont="1" applyFill="1" applyBorder="1">
      <alignment/>
      <protection/>
    </xf>
    <xf numFmtId="0" fontId="44" fillId="7" borderId="14" xfId="586" applyFont="1" applyFill="1" applyBorder="1" applyAlignment="1">
      <alignment vertical="top"/>
      <protection/>
    </xf>
    <xf numFmtId="0" fontId="44" fillId="7" borderId="22" xfId="586" applyFont="1" applyFill="1" applyBorder="1" applyAlignment="1">
      <alignment horizontal="center"/>
      <protection/>
    </xf>
    <xf numFmtId="3" fontId="32" fillId="7" borderId="13" xfId="586" applyNumberFormat="1" applyFont="1" applyFill="1" applyBorder="1" applyAlignment="1">
      <alignment horizontal="center" vertical="center"/>
      <protection/>
    </xf>
    <xf numFmtId="1" fontId="32" fillId="7" borderId="21" xfId="586" applyNumberFormat="1" applyFont="1" applyFill="1" applyBorder="1" applyAlignment="1">
      <alignment horizontal="center" vertical="center"/>
      <protection/>
    </xf>
    <xf numFmtId="1" fontId="32" fillId="7" borderId="24" xfId="586" applyNumberFormat="1" applyFont="1" applyFill="1" applyBorder="1" applyAlignment="1">
      <alignment horizontal="center" vertical="center"/>
      <protection/>
    </xf>
    <xf numFmtId="4" fontId="44" fillId="0" borderId="0" xfId="586" applyNumberFormat="1" applyFont="1" applyFill="1" applyBorder="1" applyAlignment="1">
      <alignment horizontal="justify" vertical="top"/>
      <protection/>
    </xf>
    <xf numFmtId="1" fontId="44" fillId="0" borderId="0" xfId="586" applyNumberFormat="1" applyFont="1" applyFill="1" applyBorder="1" applyAlignment="1">
      <alignment horizontal="justify" vertical="top"/>
      <protection/>
    </xf>
    <xf numFmtId="1" fontId="44" fillId="0" borderId="0" xfId="586" applyNumberFormat="1" applyFont="1" applyFill="1" applyBorder="1" applyAlignment="1">
      <alignment horizontal="center" vertical="center"/>
      <protection/>
    </xf>
    <xf numFmtId="0" fontId="67" fillId="0" borderId="0" xfId="586" applyFont="1" applyFill="1" applyBorder="1" applyAlignment="1">
      <alignment horizontal="left"/>
      <protection/>
    </xf>
    <xf numFmtId="0" fontId="68" fillId="0" borderId="0" xfId="586" applyFont="1" applyFill="1" applyBorder="1">
      <alignment/>
      <protection/>
    </xf>
    <xf numFmtId="0" fontId="36" fillId="15" borderId="13" xfId="586" applyFont="1" applyFill="1" applyBorder="1">
      <alignment/>
      <protection/>
    </xf>
    <xf numFmtId="0" fontId="35" fillId="15" borderId="14" xfId="586" applyFont="1" applyFill="1" applyBorder="1" applyAlignment="1">
      <alignment vertical="top"/>
      <protection/>
    </xf>
    <xf numFmtId="0" fontId="35" fillId="15" borderId="22" xfId="586" applyFont="1" applyFill="1" applyBorder="1" applyAlignment="1">
      <alignment horizontal="left"/>
      <protection/>
    </xf>
    <xf numFmtId="4" fontId="36" fillId="15" borderId="21" xfId="586" applyNumberFormat="1" applyFont="1" applyFill="1" applyBorder="1">
      <alignment/>
      <protection/>
    </xf>
    <xf numFmtId="4" fontId="36" fillId="15" borderId="17" xfId="586" applyNumberFormat="1" applyFont="1" applyFill="1" applyBorder="1">
      <alignment/>
      <protection/>
    </xf>
    <xf numFmtId="4" fontId="36" fillId="15" borderId="21" xfId="586" applyNumberFormat="1" applyFont="1" applyFill="1" applyBorder="1" applyAlignment="1">
      <alignment horizontal="right"/>
      <protection/>
    </xf>
    <xf numFmtId="4" fontId="36" fillId="15" borderId="24" xfId="586" applyNumberFormat="1" applyFont="1" applyFill="1" applyBorder="1" applyAlignment="1">
      <alignment horizontal="right"/>
      <protection/>
    </xf>
    <xf numFmtId="3" fontId="36" fillId="0" borderId="0" xfId="586" applyNumberFormat="1" applyFont="1" applyFill="1" applyBorder="1">
      <alignment/>
      <protection/>
    </xf>
    <xf numFmtId="0" fontId="67" fillId="0" borderId="0" xfId="586" applyFont="1" applyBorder="1" applyAlignment="1">
      <alignment horizontal="left"/>
      <protection/>
    </xf>
    <xf numFmtId="0" fontId="37" fillId="0" borderId="14" xfId="586" applyFont="1" applyFill="1" applyBorder="1" applyAlignment="1">
      <alignment vertical="top"/>
      <protection/>
    </xf>
    <xf numFmtId="0" fontId="37" fillId="0" borderId="22" xfId="586" applyFont="1" applyFill="1" applyBorder="1" applyAlignment="1">
      <alignment horizontal="left"/>
      <protection/>
    </xf>
    <xf numFmtId="4" fontId="37" fillId="0" borderId="21" xfId="586" applyNumberFormat="1" applyFont="1" applyFill="1" applyBorder="1">
      <alignment/>
      <protection/>
    </xf>
    <xf numFmtId="4" fontId="37" fillId="0" borderId="17" xfId="586" applyNumberFormat="1" applyFont="1" applyFill="1" applyBorder="1">
      <alignment/>
      <protection/>
    </xf>
    <xf numFmtId="4" fontId="37" fillId="0" borderId="24" xfId="586" applyNumberFormat="1" applyFont="1" applyFill="1" applyBorder="1">
      <alignment/>
      <protection/>
    </xf>
    <xf numFmtId="0" fontId="69" fillId="0" borderId="13" xfId="586" applyFont="1" applyBorder="1">
      <alignment/>
      <protection/>
    </xf>
    <xf numFmtId="0" fontId="69" fillId="0" borderId="22" xfId="586" applyFont="1" applyFill="1" applyBorder="1" applyAlignment="1">
      <alignment horizontal="left"/>
      <protection/>
    </xf>
    <xf numFmtId="4" fontId="69" fillId="0" borderId="21" xfId="586" applyNumberFormat="1" applyFont="1" applyFill="1" applyBorder="1" applyAlignment="1">
      <alignment horizontal="right"/>
      <protection/>
    </xf>
    <xf numFmtId="4" fontId="69" fillId="0" borderId="17" xfId="586" applyNumberFormat="1" applyFont="1" applyFill="1" applyBorder="1" applyAlignment="1">
      <alignment horizontal="right"/>
      <protection/>
    </xf>
    <xf numFmtId="4" fontId="69" fillId="0" borderId="24" xfId="586" applyNumberFormat="1" applyFont="1" applyFill="1" applyBorder="1" applyAlignment="1">
      <alignment horizontal="right"/>
      <protection/>
    </xf>
    <xf numFmtId="4" fontId="69" fillId="0" borderId="0" xfId="586" applyNumberFormat="1" applyFont="1" applyFill="1" applyBorder="1">
      <alignment/>
      <protection/>
    </xf>
    <xf numFmtId="0" fontId="70" fillId="0" borderId="13" xfId="586" applyFont="1" applyBorder="1">
      <alignment/>
      <protection/>
    </xf>
    <xf numFmtId="0" fontId="70" fillId="0" borderId="14" xfId="586" applyFont="1" applyFill="1" applyBorder="1" applyAlignment="1">
      <alignment vertical="top"/>
      <protection/>
    </xf>
    <xf numFmtId="0" fontId="69" fillId="0" borderId="14" xfId="586" applyFont="1" applyFill="1" applyBorder="1" applyAlignment="1">
      <alignment horizontal="left"/>
      <protection/>
    </xf>
    <xf numFmtId="4" fontId="69" fillId="0" borderId="15" xfId="586" applyNumberFormat="1" applyFont="1" applyFill="1" applyBorder="1" applyAlignment="1">
      <alignment horizontal="right"/>
      <protection/>
    </xf>
    <xf numFmtId="4" fontId="69" fillId="0" borderId="13" xfId="586" applyNumberFormat="1" applyFont="1" applyFill="1" applyBorder="1" applyAlignment="1">
      <alignment horizontal="right"/>
      <protection/>
    </xf>
    <xf numFmtId="4" fontId="69" fillId="0" borderId="22" xfId="586" applyNumberFormat="1" applyFont="1" applyFill="1" applyBorder="1" applyAlignment="1">
      <alignment horizontal="right"/>
      <protection/>
    </xf>
    <xf numFmtId="4" fontId="37" fillId="0" borderId="13" xfId="586" applyNumberFormat="1" applyFont="1" applyFill="1" applyBorder="1">
      <alignment/>
      <protection/>
    </xf>
    <xf numFmtId="4" fontId="37" fillId="0" borderId="22" xfId="586" applyNumberFormat="1" applyFont="1" applyFill="1" applyBorder="1">
      <alignment/>
      <protection/>
    </xf>
    <xf numFmtId="0" fontId="38" fillId="8" borderId="13" xfId="586" applyFont="1" applyFill="1" applyBorder="1" applyAlignment="1">
      <alignment horizontal="right"/>
      <protection/>
    </xf>
    <xf numFmtId="0" fontId="38" fillId="8" borderId="14" xfId="586" applyFont="1" applyFill="1" applyBorder="1">
      <alignment/>
      <protection/>
    </xf>
    <xf numFmtId="4" fontId="38" fillId="8" borderId="15" xfId="586" applyNumberFormat="1" applyFont="1" applyFill="1" applyBorder="1">
      <alignment/>
      <protection/>
    </xf>
    <xf numFmtId="4" fontId="38" fillId="8" borderId="13" xfId="586" applyNumberFormat="1" applyFont="1" applyFill="1" applyBorder="1">
      <alignment/>
      <protection/>
    </xf>
    <xf numFmtId="4" fontId="38" fillId="8" borderId="22" xfId="586" applyNumberFormat="1" applyFont="1" applyFill="1" applyBorder="1">
      <alignment/>
      <protection/>
    </xf>
    <xf numFmtId="0" fontId="71" fillId="0" borderId="13" xfId="586" applyFont="1" applyFill="1" applyBorder="1">
      <alignment/>
      <protection/>
    </xf>
    <xf numFmtId="0" fontId="71" fillId="0" borderId="14" xfId="586" applyFont="1" applyFill="1" applyBorder="1">
      <alignment/>
      <protection/>
    </xf>
    <xf numFmtId="4" fontId="71" fillId="0" borderId="15" xfId="586" applyNumberFormat="1" applyFont="1" applyFill="1" applyBorder="1">
      <alignment/>
      <protection/>
    </xf>
    <xf numFmtId="4" fontId="71" fillId="0" borderId="13" xfId="586" applyNumberFormat="1" applyFont="1" applyFill="1" applyBorder="1">
      <alignment/>
      <protection/>
    </xf>
    <xf numFmtId="4" fontId="71" fillId="0" borderId="22" xfId="586" applyNumberFormat="1" applyFont="1" applyFill="1" applyBorder="1">
      <alignment/>
      <protection/>
    </xf>
    <xf numFmtId="4" fontId="71" fillId="0" borderId="0" xfId="586" applyNumberFormat="1" applyFont="1" applyFill="1" applyBorder="1">
      <alignment/>
      <protection/>
    </xf>
    <xf numFmtId="0" fontId="71" fillId="0" borderId="0" xfId="586" applyFont="1" applyFill="1" applyBorder="1">
      <alignment/>
      <protection/>
    </xf>
    <xf numFmtId="3" fontId="71" fillId="0" borderId="0" xfId="586" applyNumberFormat="1" applyFont="1" applyFill="1" applyBorder="1">
      <alignment/>
      <protection/>
    </xf>
    <xf numFmtId="0" fontId="71" fillId="0" borderId="17" xfId="586" applyFont="1" applyFill="1" applyBorder="1">
      <alignment/>
      <protection/>
    </xf>
    <xf numFmtId="0" fontId="71" fillId="0" borderId="18" xfId="586" applyFont="1" applyFill="1" applyBorder="1">
      <alignment/>
      <protection/>
    </xf>
    <xf numFmtId="0" fontId="69" fillId="0" borderId="13" xfId="586" applyFont="1" applyFill="1" applyBorder="1">
      <alignment/>
      <protection/>
    </xf>
    <xf numFmtId="0" fontId="69" fillId="0" borderId="14" xfId="586" applyFont="1" applyFill="1" applyBorder="1">
      <alignment/>
      <protection/>
    </xf>
    <xf numFmtId="0" fontId="72" fillId="0" borderId="14" xfId="586" applyFont="1" applyFill="1" applyBorder="1">
      <alignment/>
      <protection/>
    </xf>
    <xf numFmtId="4" fontId="69" fillId="0" borderId="15" xfId="586" applyNumberFormat="1" applyFont="1" applyFill="1" applyBorder="1" applyAlignment="1">
      <alignment horizontal="left"/>
      <protection/>
    </xf>
    <xf numFmtId="4" fontId="69" fillId="0" borderId="13" xfId="586" applyNumberFormat="1" applyFont="1" applyFill="1" applyBorder="1" applyAlignment="1">
      <alignment horizontal="left"/>
      <protection/>
    </xf>
    <xf numFmtId="4" fontId="69" fillId="0" borderId="22" xfId="586" applyNumberFormat="1" applyFont="1" applyFill="1" applyBorder="1" applyAlignment="1">
      <alignment horizontal="left"/>
      <protection/>
    </xf>
    <xf numFmtId="0" fontId="72" fillId="0" borderId="0" xfId="586" applyFont="1" applyFill="1" applyBorder="1">
      <alignment/>
      <protection/>
    </xf>
    <xf numFmtId="3" fontId="72" fillId="0" borderId="0" xfId="586" applyNumberFormat="1" applyFont="1" applyFill="1" applyBorder="1">
      <alignment/>
      <protection/>
    </xf>
    <xf numFmtId="0" fontId="73" fillId="0" borderId="0" xfId="586" applyFont="1" applyFill="1" applyBorder="1">
      <alignment/>
      <protection/>
    </xf>
    <xf numFmtId="0" fontId="74" fillId="0" borderId="25" xfId="586" applyFont="1" applyFill="1" applyBorder="1">
      <alignment/>
      <protection/>
    </xf>
    <xf numFmtId="0" fontId="74" fillId="0" borderId="26" xfId="586" applyFont="1" applyFill="1" applyBorder="1">
      <alignment/>
      <protection/>
    </xf>
    <xf numFmtId="4" fontId="74" fillId="0" borderId="15" xfId="586" applyNumberFormat="1" applyFont="1" applyFill="1" applyBorder="1" applyAlignment="1">
      <alignment horizontal="right"/>
      <protection/>
    </xf>
    <xf numFmtId="4" fontId="74" fillId="0" borderId="13" xfId="586" applyNumberFormat="1" applyFont="1" applyFill="1" applyBorder="1" applyAlignment="1">
      <alignment horizontal="right"/>
      <protection/>
    </xf>
    <xf numFmtId="4" fontId="74" fillId="0" borderId="22" xfId="586" applyNumberFormat="1" applyFont="1" applyFill="1" applyBorder="1" applyAlignment="1">
      <alignment horizontal="right"/>
      <protection/>
    </xf>
    <xf numFmtId="4" fontId="74" fillId="0" borderId="0" xfId="586" applyNumberFormat="1" applyFont="1" applyFill="1" applyBorder="1" applyAlignment="1">
      <alignment horizontal="right"/>
      <protection/>
    </xf>
    <xf numFmtId="3" fontId="74" fillId="0" borderId="0" xfId="586" applyNumberFormat="1" applyFont="1" applyFill="1" applyBorder="1" applyAlignment="1">
      <alignment horizontal="right"/>
      <protection/>
    </xf>
    <xf numFmtId="0" fontId="37" fillId="0" borderId="25" xfId="586" applyFont="1" applyFill="1" applyBorder="1">
      <alignment/>
      <protection/>
    </xf>
    <xf numFmtId="0" fontId="37" fillId="0" borderId="26" xfId="586" applyFont="1" applyFill="1" applyBorder="1">
      <alignment/>
      <protection/>
    </xf>
    <xf numFmtId="172" fontId="37" fillId="0" borderId="14" xfId="425" applyFont="1" applyFill="1" applyBorder="1" applyAlignment="1" applyProtection="1">
      <alignment horizontal="left"/>
      <protection/>
    </xf>
    <xf numFmtId="0" fontId="69" fillId="0" borderId="14" xfId="586" applyFont="1" applyBorder="1">
      <alignment/>
      <protection/>
    </xf>
    <xf numFmtId="0" fontId="73" fillId="0" borderId="0" xfId="586" applyFont="1" applyBorder="1">
      <alignment/>
      <protection/>
    </xf>
    <xf numFmtId="0" fontId="67" fillId="0" borderId="0" xfId="586" applyFont="1" applyBorder="1">
      <alignment/>
      <protection/>
    </xf>
    <xf numFmtId="0" fontId="69" fillId="0" borderId="0" xfId="586" applyFont="1" applyFill="1" applyBorder="1">
      <alignment/>
      <protection/>
    </xf>
    <xf numFmtId="3" fontId="69" fillId="0" borderId="0" xfId="586" applyNumberFormat="1" applyFont="1" applyFill="1" applyBorder="1">
      <alignment/>
      <protection/>
    </xf>
    <xf numFmtId="4" fontId="74" fillId="0" borderId="15" xfId="586" applyNumberFormat="1" applyFont="1" applyFill="1" applyBorder="1">
      <alignment/>
      <protection/>
    </xf>
    <xf numFmtId="4" fontId="74" fillId="0" borderId="13" xfId="586" applyNumberFormat="1" applyFont="1" applyFill="1" applyBorder="1">
      <alignment/>
      <protection/>
    </xf>
    <xf numFmtId="4" fontId="74" fillId="0" borderId="22" xfId="586" applyNumberFormat="1" applyFont="1" applyFill="1" applyBorder="1">
      <alignment/>
      <protection/>
    </xf>
    <xf numFmtId="4" fontId="74" fillId="0" borderId="0" xfId="586" applyNumberFormat="1" applyFont="1" applyFill="1" applyBorder="1">
      <alignment/>
      <protection/>
    </xf>
    <xf numFmtId="3" fontId="74" fillId="0" borderId="0" xfId="586" applyNumberFormat="1" applyFont="1" applyFill="1" applyBorder="1">
      <alignment/>
      <protection/>
    </xf>
    <xf numFmtId="0" fontId="37" fillId="0" borderId="25" xfId="586" applyFont="1" applyBorder="1">
      <alignment/>
      <protection/>
    </xf>
    <xf numFmtId="0" fontId="37" fillId="0" borderId="26" xfId="586" applyFont="1" applyBorder="1">
      <alignment/>
      <protection/>
    </xf>
    <xf numFmtId="0" fontId="69" fillId="0" borderId="25" xfId="586" applyFont="1" applyBorder="1">
      <alignment/>
      <protection/>
    </xf>
    <xf numFmtId="0" fontId="69" fillId="0" borderId="26" xfId="586" applyFont="1" applyBorder="1">
      <alignment/>
      <protection/>
    </xf>
    <xf numFmtId="0" fontId="74" fillId="0" borderId="13" xfId="586" applyFont="1" applyFill="1" applyBorder="1">
      <alignment/>
      <protection/>
    </xf>
    <xf numFmtId="0" fontId="74" fillId="0" borderId="14" xfId="586" applyFont="1" applyFill="1" applyBorder="1">
      <alignment/>
      <protection/>
    </xf>
    <xf numFmtId="0" fontId="37" fillId="0" borderId="20" xfId="586" applyFont="1" applyBorder="1">
      <alignment/>
      <protection/>
    </xf>
    <xf numFmtId="4" fontId="5" fillId="0" borderId="15" xfId="586" applyNumberFormat="1" applyFont="1" applyBorder="1">
      <alignment/>
      <protection/>
    </xf>
    <xf numFmtId="4" fontId="5" fillId="0" borderId="13" xfId="586" applyNumberFormat="1" applyFont="1" applyBorder="1">
      <alignment/>
      <protection/>
    </xf>
    <xf numFmtId="4" fontId="5" fillId="0" borderId="22" xfId="586" applyNumberFormat="1" applyFont="1" applyBorder="1">
      <alignment/>
      <protection/>
    </xf>
    <xf numFmtId="4" fontId="37" fillId="0" borderId="15" xfId="586" applyNumberFormat="1" applyFont="1" applyFill="1" applyBorder="1" applyAlignment="1">
      <alignment horizontal="left"/>
      <protection/>
    </xf>
    <xf numFmtId="0" fontId="39" fillId="0" borderId="0" xfId="586" applyFont="1" applyFill="1" applyBorder="1" applyAlignment="1">
      <alignment horizontal="left"/>
      <protection/>
    </xf>
    <xf numFmtId="4" fontId="69" fillId="0" borderId="15" xfId="586" applyNumberFormat="1" applyFont="1" applyBorder="1" applyAlignment="1">
      <alignment horizontal="left"/>
      <protection/>
    </xf>
    <xf numFmtId="4" fontId="69" fillId="0" borderId="13" xfId="586" applyNumberFormat="1" applyFont="1" applyBorder="1" applyAlignment="1">
      <alignment horizontal="left"/>
      <protection/>
    </xf>
    <xf numFmtId="4" fontId="69" fillId="0" borderId="22" xfId="586" applyNumberFormat="1" applyFont="1" applyBorder="1" applyAlignment="1">
      <alignment horizontal="left"/>
      <protection/>
    </xf>
    <xf numFmtId="3" fontId="69" fillId="0" borderId="0" xfId="586" applyNumberFormat="1" applyFont="1" applyFill="1" applyBorder="1" applyAlignment="1">
      <alignment horizontal="right"/>
      <protection/>
    </xf>
    <xf numFmtId="3" fontId="41" fillId="0" borderId="0" xfId="586" applyNumberFormat="1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69" fillId="0" borderId="20" xfId="586" applyFont="1" applyBorder="1">
      <alignment/>
      <protection/>
    </xf>
    <xf numFmtId="0" fontId="69" fillId="0" borderId="0" xfId="586" applyFont="1" applyBorder="1">
      <alignment/>
      <protection/>
    </xf>
    <xf numFmtId="4" fontId="69" fillId="0" borderId="16" xfId="586" applyNumberFormat="1" applyFont="1" applyFill="1" applyBorder="1" applyAlignment="1">
      <alignment horizontal="left"/>
      <protection/>
    </xf>
    <xf numFmtId="4" fontId="69" fillId="0" borderId="25" xfId="586" applyNumberFormat="1" applyFont="1" applyFill="1" applyBorder="1" applyAlignment="1">
      <alignment horizontal="left"/>
      <protection/>
    </xf>
    <xf numFmtId="4" fontId="69" fillId="0" borderId="27" xfId="586" applyNumberFormat="1" applyFont="1" applyFill="1" applyBorder="1" applyAlignment="1">
      <alignment horizontal="left"/>
      <protection/>
    </xf>
    <xf numFmtId="0" fontId="74" fillId="0" borderId="13" xfId="586" applyFont="1" applyFill="1" applyBorder="1" applyAlignment="1">
      <alignment horizontal="right"/>
      <protection/>
    </xf>
    <xf numFmtId="0" fontId="37" fillId="0" borderId="25" xfId="586" applyFont="1" applyFill="1" applyBorder="1" applyAlignment="1">
      <alignment horizontal="right"/>
      <protection/>
    </xf>
    <xf numFmtId="0" fontId="75" fillId="0" borderId="0" xfId="586" applyFont="1" applyFill="1" applyBorder="1">
      <alignment/>
      <protection/>
    </xf>
    <xf numFmtId="3" fontId="37" fillId="0" borderId="0" xfId="586" applyNumberFormat="1" applyFont="1" applyFill="1" applyBorder="1" applyAlignment="1">
      <alignment horizontal="left"/>
      <protection/>
    </xf>
    <xf numFmtId="176" fontId="36" fillId="15" borderId="13" xfId="586" applyNumberFormat="1" applyFont="1" applyFill="1" applyBorder="1" applyAlignment="1">
      <alignment horizontal="left"/>
      <protection/>
    </xf>
    <xf numFmtId="0" fontId="35" fillId="15" borderId="14" xfId="586" applyFont="1" applyFill="1" applyBorder="1">
      <alignment/>
      <protection/>
    </xf>
    <xf numFmtId="4" fontId="36" fillId="15" borderId="15" xfId="586" applyNumberFormat="1" applyFont="1" applyFill="1" applyBorder="1">
      <alignment/>
      <protection/>
    </xf>
    <xf numFmtId="4" fontId="36" fillId="15" borderId="13" xfId="586" applyNumberFormat="1" applyFont="1" applyFill="1" applyBorder="1">
      <alignment/>
      <protection/>
    </xf>
    <xf numFmtId="0" fontId="37" fillId="0" borderId="26" xfId="586" applyFont="1" applyFill="1" applyBorder="1" applyAlignment="1">
      <alignment horizontal="left"/>
      <protection/>
    </xf>
    <xf numFmtId="4" fontId="37" fillId="0" borderId="22" xfId="586" applyNumberFormat="1" applyFont="1" applyBorder="1" applyAlignment="1">
      <alignment horizontal="right"/>
      <protection/>
    </xf>
    <xf numFmtId="0" fontId="36" fillId="0" borderId="0" xfId="586" applyFont="1" applyFill="1" applyBorder="1">
      <alignment/>
      <protection/>
    </xf>
    <xf numFmtId="4" fontId="37" fillId="0" borderId="24" xfId="586" applyNumberFormat="1" applyFont="1" applyBorder="1" applyAlignment="1">
      <alignment horizontal="right"/>
      <protection/>
    </xf>
    <xf numFmtId="4" fontId="37" fillId="0" borderId="0" xfId="586" applyNumberFormat="1" applyFont="1" applyBorder="1">
      <alignment/>
      <protection/>
    </xf>
    <xf numFmtId="0" fontId="32" fillId="7" borderId="15" xfId="586" applyFont="1" applyFill="1" applyBorder="1" applyAlignment="1">
      <alignment horizontal="center"/>
      <protection/>
    </xf>
    <xf numFmtId="1" fontId="32" fillId="7" borderId="15" xfId="586" applyNumberFormat="1" applyFont="1" applyFill="1" applyBorder="1" applyAlignment="1">
      <alignment horizontal="center" vertical="center"/>
      <protection/>
    </xf>
    <xf numFmtId="1" fontId="32" fillId="7" borderId="22" xfId="586" applyNumberFormat="1" applyFont="1" applyFill="1" applyBorder="1" applyAlignment="1">
      <alignment horizontal="center" vertical="center"/>
      <protection/>
    </xf>
    <xf numFmtId="0" fontId="36" fillId="15" borderId="17" xfId="586" applyFont="1" applyFill="1" applyBorder="1">
      <alignment/>
      <protection/>
    </xf>
    <xf numFmtId="0" fontId="35" fillId="15" borderId="18" xfId="586" applyFont="1" applyFill="1" applyBorder="1">
      <alignment/>
      <protection/>
    </xf>
    <xf numFmtId="4" fontId="36" fillId="15" borderId="16" xfId="586" applyNumberFormat="1" applyFont="1" applyFill="1" applyBorder="1">
      <alignment/>
      <protection/>
    </xf>
    <xf numFmtId="4" fontId="36" fillId="15" borderId="16" xfId="586" applyNumberFormat="1" applyFont="1" applyFill="1" applyBorder="1" applyAlignment="1">
      <alignment horizontal="right"/>
      <protection/>
    </xf>
    <xf numFmtId="0" fontId="37" fillId="0" borderId="14" xfId="586" applyFont="1" applyFill="1" applyBorder="1" applyAlignment="1">
      <alignment horizontal="left"/>
      <protection/>
    </xf>
    <xf numFmtId="4" fontId="69" fillId="0" borderId="15" xfId="586" applyNumberFormat="1" applyFont="1" applyBorder="1" applyAlignment="1">
      <alignment horizontal="right"/>
      <protection/>
    </xf>
    <xf numFmtId="3" fontId="69" fillId="0" borderId="0" xfId="586" applyNumberFormat="1" applyFont="1" applyFill="1" applyBorder="1" applyAlignment="1">
      <alignment horizontal="left"/>
      <protection/>
    </xf>
    <xf numFmtId="49" fontId="32" fillId="4" borderId="13" xfId="586" applyNumberFormat="1" applyFont="1" applyFill="1" applyBorder="1" applyAlignment="1">
      <alignment horizontal="right"/>
      <protection/>
    </xf>
    <xf numFmtId="0" fontId="37" fillId="4" borderId="22" xfId="586" applyFont="1" applyFill="1" applyBorder="1">
      <alignment/>
      <protection/>
    </xf>
    <xf numFmtId="0" fontId="32" fillId="4" borderId="15" xfId="586" applyFont="1" applyFill="1" applyBorder="1">
      <alignment/>
      <protection/>
    </xf>
    <xf numFmtId="4" fontId="38" fillId="4" borderId="16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left"/>
      <protection/>
    </xf>
    <xf numFmtId="2" fontId="76" fillId="0" borderId="0" xfId="586" applyNumberFormat="1" applyFont="1" applyBorder="1" applyAlignment="1">
      <alignment horizontal="left"/>
      <protection/>
    </xf>
    <xf numFmtId="0" fontId="44" fillId="7" borderId="14" xfId="586" applyFont="1" applyFill="1" applyBorder="1" applyAlignment="1">
      <alignment horizontal="center"/>
      <protection/>
    </xf>
    <xf numFmtId="4" fontId="38" fillId="15" borderId="15" xfId="586" applyNumberFormat="1" applyFont="1" applyFill="1" applyBorder="1">
      <alignment/>
      <protection/>
    </xf>
    <xf numFmtId="0" fontId="44" fillId="0" borderId="0" xfId="586" applyFont="1" applyFill="1" applyBorder="1" applyAlignment="1">
      <alignment horizontal="justify" vertical="center"/>
      <protection/>
    </xf>
    <xf numFmtId="0" fontId="44" fillId="0" borderId="0" xfId="586" applyFont="1" applyFill="1" applyBorder="1" applyAlignment="1">
      <alignment horizontal="center" vertical="center"/>
      <protection/>
    </xf>
    <xf numFmtId="2" fontId="44" fillId="0" borderId="0" xfId="586" applyNumberFormat="1" applyFont="1" applyFill="1" applyBorder="1" applyAlignment="1">
      <alignment horizontal="justify" vertical="center"/>
      <protection/>
    </xf>
    <xf numFmtId="0" fontId="68" fillId="0" borderId="0" xfId="586" applyFont="1" applyBorder="1">
      <alignment/>
      <protection/>
    </xf>
    <xf numFmtId="1" fontId="36" fillId="0" borderId="0" xfId="586" applyNumberFormat="1" applyFont="1" applyFill="1" applyBorder="1">
      <alignment/>
      <protection/>
    </xf>
    <xf numFmtId="2" fontId="36" fillId="0" borderId="0" xfId="586" applyNumberFormat="1" applyFont="1" applyFill="1" applyBorder="1">
      <alignment/>
      <protection/>
    </xf>
    <xf numFmtId="0" fontId="38" fillId="0" borderId="0" xfId="586" applyFont="1" applyFill="1" applyBorder="1">
      <alignment/>
      <protection/>
    </xf>
    <xf numFmtId="0" fontId="35" fillId="0" borderId="0" xfId="586" applyFont="1" applyBorder="1">
      <alignment/>
      <protection/>
    </xf>
    <xf numFmtId="4" fontId="69" fillId="0" borderId="15" xfId="586" applyNumberFormat="1" applyFont="1" applyBorder="1">
      <alignment/>
      <protection/>
    </xf>
    <xf numFmtId="4" fontId="69" fillId="0" borderId="15" xfId="586" applyNumberFormat="1" applyFont="1" applyFill="1" applyBorder="1">
      <alignment/>
      <protection/>
    </xf>
    <xf numFmtId="0" fontId="37" fillId="0" borderId="0" xfId="586" applyFont="1" applyFill="1" applyBorder="1" applyAlignment="1">
      <alignment horizontal="right"/>
      <protection/>
    </xf>
    <xf numFmtId="4" fontId="36" fillId="4" borderId="16" xfId="586" applyNumberFormat="1" applyFont="1" applyFill="1" applyBorder="1">
      <alignment/>
      <protection/>
    </xf>
    <xf numFmtId="49" fontId="32" fillId="0" borderId="0" xfId="586" applyNumberFormat="1" applyFont="1" applyFill="1" applyBorder="1" applyAlignment="1">
      <alignment horizontal="right"/>
      <protection/>
    </xf>
    <xf numFmtId="4" fontId="32" fillId="0" borderId="0" xfId="586" applyNumberFormat="1" applyFont="1" applyFill="1" applyBorder="1" applyAlignment="1">
      <alignment horizontal="right"/>
      <protection/>
    </xf>
    <xf numFmtId="4" fontId="32" fillId="0" borderId="0" xfId="586" applyNumberFormat="1" applyFont="1" applyFill="1" applyBorder="1" applyAlignment="1">
      <alignment horizontal="center"/>
      <protection/>
    </xf>
    <xf numFmtId="0" fontId="32" fillId="0" borderId="0" xfId="586" applyFont="1" applyFill="1" applyBorder="1" applyAlignment="1">
      <alignment horizontal="center"/>
      <protection/>
    </xf>
    <xf numFmtId="3" fontId="36" fillId="0" borderId="0" xfId="586" applyNumberFormat="1" applyFont="1" applyFill="1" applyBorder="1" applyAlignment="1">
      <alignment horizontal="right"/>
      <protection/>
    </xf>
    <xf numFmtId="0" fontId="37" fillId="0" borderId="0" xfId="586" applyFont="1" applyFill="1" applyBorder="1" applyAlignment="1">
      <alignment horizontal="left"/>
      <protection/>
    </xf>
    <xf numFmtId="0" fontId="5" fillId="0" borderId="20" xfId="586" applyFont="1" applyFill="1" applyBorder="1">
      <alignment/>
      <protection/>
    </xf>
    <xf numFmtId="4" fontId="76" fillId="0" borderId="0" xfId="586" applyNumberFormat="1" applyFont="1" applyBorder="1" applyAlignment="1">
      <alignment horizontal="left"/>
      <protection/>
    </xf>
    <xf numFmtId="3" fontId="70" fillId="0" borderId="0" xfId="586" applyNumberFormat="1" applyFont="1" applyFill="1" applyBorder="1">
      <alignment/>
      <protection/>
    </xf>
    <xf numFmtId="0" fontId="37" fillId="0" borderId="20" xfId="586" applyFont="1" applyFill="1" applyBorder="1">
      <alignment/>
      <protection/>
    </xf>
    <xf numFmtId="0" fontId="37" fillId="20" borderId="17" xfId="586" applyFont="1" applyFill="1" applyBorder="1">
      <alignment/>
      <protection/>
    </xf>
    <xf numFmtId="4" fontId="37" fillId="6" borderId="15" xfId="586" applyNumberFormat="1" applyFont="1" applyFill="1" applyBorder="1">
      <alignment/>
      <protection/>
    </xf>
    <xf numFmtId="4" fontId="76" fillId="0" borderId="0" xfId="586" applyNumberFormat="1" applyFont="1" applyFill="1" applyBorder="1" applyAlignment="1">
      <alignment horizontal="left"/>
      <protection/>
    </xf>
    <xf numFmtId="49" fontId="32" fillId="8" borderId="0" xfId="586" applyNumberFormat="1" applyFont="1" applyFill="1" applyBorder="1" applyAlignment="1">
      <alignment horizontal="right"/>
      <protection/>
    </xf>
    <xf numFmtId="0" fontId="37" fillId="8" borderId="0" xfId="586" applyFont="1" applyFill="1" applyBorder="1">
      <alignment/>
      <protection/>
    </xf>
    <xf numFmtId="0" fontId="32" fillId="8" borderId="0" xfId="586" applyFont="1" applyFill="1" applyBorder="1">
      <alignment/>
      <protection/>
    </xf>
    <xf numFmtId="4" fontId="32" fillId="8" borderId="0" xfId="586" applyNumberFormat="1" applyFont="1" applyFill="1" applyBorder="1" applyAlignment="1">
      <alignment horizontal="right"/>
      <protection/>
    </xf>
    <xf numFmtId="4" fontId="32" fillId="8" borderId="0" xfId="586" applyNumberFormat="1" applyFont="1" applyFill="1" applyBorder="1" applyAlignment="1">
      <alignment horizontal="center"/>
      <protection/>
    </xf>
    <xf numFmtId="2" fontId="35" fillId="0" borderId="0" xfId="586" applyNumberFormat="1" applyFont="1" applyFill="1" applyBorder="1">
      <alignment/>
      <protection/>
    </xf>
    <xf numFmtId="3" fontId="32" fillId="0" borderId="0" xfId="586" applyNumberFormat="1" applyFont="1" applyFill="1" applyBorder="1" applyAlignment="1">
      <alignment/>
      <protection/>
    </xf>
    <xf numFmtId="0" fontId="36" fillId="15" borderId="89" xfId="586" applyFont="1" applyFill="1" applyBorder="1">
      <alignment/>
      <protection/>
    </xf>
    <xf numFmtId="0" fontId="35" fillId="15" borderId="90" xfId="586" applyFont="1" applyFill="1" applyBorder="1">
      <alignment/>
      <protection/>
    </xf>
    <xf numFmtId="0" fontId="37" fillId="20" borderId="20" xfId="586" applyFont="1" applyFill="1" applyBorder="1">
      <alignment/>
      <protection/>
    </xf>
    <xf numFmtId="0" fontId="38" fillId="0" borderId="20" xfId="586" applyFont="1" applyFill="1" applyBorder="1">
      <alignment/>
      <protection/>
    </xf>
    <xf numFmtId="0" fontId="38" fillId="0" borderId="23" xfId="586" applyFont="1" applyFill="1" applyBorder="1">
      <alignment/>
      <protection/>
    </xf>
    <xf numFmtId="4" fontId="5" fillId="0" borderId="19" xfId="586" applyNumberFormat="1" applyFont="1" applyBorder="1">
      <alignment/>
      <protection/>
    </xf>
    <xf numFmtId="4" fontId="38" fillId="0" borderId="19" xfId="586" applyNumberFormat="1" applyFont="1" applyFill="1" applyBorder="1" applyAlignment="1">
      <alignment horizontal="right"/>
      <protection/>
    </xf>
    <xf numFmtId="4" fontId="38" fillId="0" borderId="19" xfId="586" applyNumberFormat="1" applyFont="1" applyBorder="1" applyAlignment="1">
      <alignment horizontal="right"/>
      <protection/>
    </xf>
    <xf numFmtId="4" fontId="38" fillId="0" borderId="20" xfId="586" applyNumberFormat="1" applyFont="1" applyBorder="1" applyAlignment="1">
      <alignment horizontal="right"/>
      <protection/>
    </xf>
    <xf numFmtId="4" fontId="36" fillId="15" borderId="24" xfId="586" applyNumberFormat="1" applyFont="1" applyFill="1" applyBorder="1">
      <alignment/>
      <protection/>
    </xf>
    <xf numFmtId="4" fontId="37" fillId="0" borderId="22" xfId="586" applyNumberFormat="1" applyFont="1" applyBorder="1">
      <alignment/>
      <protection/>
    </xf>
    <xf numFmtId="4" fontId="69" fillId="0" borderId="22" xfId="586" applyNumberFormat="1" applyFont="1" applyBorder="1" applyAlignment="1">
      <alignment horizontal="right"/>
      <protection/>
    </xf>
    <xf numFmtId="0" fontId="70" fillId="0" borderId="0" xfId="586" applyFont="1" applyFill="1" applyBorder="1" applyAlignment="1">
      <alignment horizontal="left"/>
      <protection/>
    </xf>
    <xf numFmtId="0" fontId="70" fillId="0" borderId="0" xfId="586" applyFont="1" applyFill="1" applyBorder="1">
      <alignment/>
      <protection/>
    </xf>
    <xf numFmtId="0" fontId="38" fillId="0" borderId="20" xfId="586" applyFont="1" applyBorder="1">
      <alignment/>
      <protection/>
    </xf>
    <xf numFmtId="4" fontId="38" fillId="0" borderId="0" xfId="586" applyNumberFormat="1" applyFont="1" applyBorder="1" applyAlignment="1">
      <alignment horizontal="right"/>
      <protection/>
    </xf>
    <xf numFmtId="0" fontId="36" fillId="15" borderId="14" xfId="586" applyFont="1" applyFill="1" applyBorder="1">
      <alignment/>
      <protection/>
    </xf>
    <xf numFmtId="0" fontId="36" fillId="15" borderId="22" xfId="586" applyFont="1" applyFill="1" applyBorder="1">
      <alignment/>
      <protection/>
    </xf>
    <xf numFmtId="4" fontId="73" fillId="0" borderId="0" xfId="586" applyNumberFormat="1" applyFont="1" applyBorder="1">
      <alignment/>
      <protection/>
    </xf>
    <xf numFmtId="4" fontId="69" fillId="0" borderId="0" xfId="586" applyNumberFormat="1" applyFont="1" applyBorder="1">
      <alignment/>
      <protection/>
    </xf>
    <xf numFmtId="4" fontId="69" fillId="0" borderId="0" xfId="586" applyNumberFormat="1" applyFont="1" applyBorder="1" applyAlignment="1">
      <alignment horizontal="right"/>
      <protection/>
    </xf>
    <xf numFmtId="0" fontId="37" fillId="0" borderId="18" xfId="586" applyFont="1" applyFill="1" applyBorder="1" applyAlignment="1">
      <alignment horizontal="left"/>
      <protection/>
    </xf>
    <xf numFmtId="3" fontId="5" fillId="0" borderId="0" xfId="586" applyNumberFormat="1" applyFont="1" applyFill="1" applyBorder="1" applyAlignment="1">
      <alignment horizontal="center"/>
      <protection/>
    </xf>
    <xf numFmtId="0" fontId="37" fillId="0" borderId="91" xfId="586" applyFont="1" applyFill="1" applyBorder="1">
      <alignment/>
      <protection/>
    </xf>
    <xf numFmtId="0" fontId="39" fillId="0" borderId="92" xfId="586" applyFont="1" applyFill="1" applyBorder="1">
      <alignment/>
      <protection/>
    </xf>
    <xf numFmtId="0" fontId="37" fillId="0" borderId="92" xfId="586" applyFont="1" applyFill="1" applyBorder="1">
      <alignment/>
      <protection/>
    </xf>
    <xf numFmtId="0" fontId="39" fillId="0" borderId="18" xfId="586" applyFont="1" applyFill="1" applyBorder="1">
      <alignment/>
      <protection/>
    </xf>
    <xf numFmtId="0" fontId="39" fillId="0" borderId="14" xfId="586" applyFont="1" applyFill="1" applyBorder="1">
      <alignment/>
      <protection/>
    </xf>
    <xf numFmtId="4" fontId="39" fillId="0" borderId="21" xfId="586" applyNumberFormat="1" applyFont="1" applyBorder="1" applyAlignment="1">
      <alignment horizontal="left"/>
      <protection/>
    </xf>
    <xf numFmtId="0" fontId="37" fillId="20" borderId="25" xfId="586" applyFont="1" applyFill="1" applyBorder="1">
      <alignment/>
      <protection/>
    </xf>
    <xf numFmtId="0" fontId="39" fillId="0" borderId="26" xfId="586" applyFont="1" applyFill="1" applyBorder="1">
      <alignment/>
      <protection/>
    </xf>
    <xf numFmtId="4" fontId="36" fillId="4" borderId="27" xfId="586" applyNumberFormat="1" applyFont="1" applyFill="1" applyBorder="1">
      <alignment/>
      <protection/>
    </xf>
    <xf numFmtId="0" fontId="39" fillId="0" borderId="0" xfId="586" applyFont="1" applyFill="1" applyBorder="1">
      <alignment/>
      <protection/>
    </xf>
    <xf numFmtId="2" fontId="38" fillId="0" borderId="0" xfId="586" applyNumberFormat="1" applyFont="1" applyFill="1" applyBorder="1">
      <alignment/>
      <protection/>
    </xf>
    <xf numFmtId="4" fontId="36" fillId="15" borderId="22" xfId="586" applyNumberFormat="1" applyFont="1" applyFill="1" applyBorder="1">
      <alignment/>
      <protection/>
    </xf>
    <xf numFmtId="0" fontId="69" fillId="0" borderId="0" xfId="586" applyFont="1" applyBorder="1" applyAlignment="1">
      <alignment horizontal="left"/>
      <protection/>
    </xf>
    <xf numFmtId="0" fontId="76" fillId="0" borderId="0" xfId="586" applyFont="1" applyFill="1" applyBorder="1">
      <alignment/>
      <protection/>
    </xf>
    <xf numFmtId="4" fontId="38" fillId="0" borderId="0" xfId="586" applyNumberFormat="1" applyFont="1" applyBorder="1">
      <alignment/>
      <protection/>
    </xf>
    <xf numFmtId="4" fontId="38" fillId="0" borderId="0" xfId="586" applyNumberFormat="1" applyFont="1" applyBorder="1" applyAlignment="1">
      <alignment horizontal="center"/>
      <protection/>
    </xf>
    <xf numFmtId="3" fontId="67" fillId="0" borderId="0" xfId="586" applyNumberFormat="1" applyFont="1" applyFill="1" applyBorder="1" applyAlignment="1">
      <alignment horizontal="left"/>
      <protection/>
    </xf>
    <xf numFmtId="0" fontId="77" fillId="0" borderId="0" xfId="586" applyFont="1" applyFill="1" applyBorder="1" applyAlignment="1">
      <alignment horizontal="left"/>
      <protection/>
    </xf>
    <xf numFmtId="49" fontId="32" fillId="8" borderId="0" xfId="586" applyNumberFormat="1" applyFont="1" applyFill="1" applyBorder="1" applyAlignment="1">
      <alignment/>
      <protection/>
    </xf>
    <xf numFmtId="4" fontId="32" fillId="8" borderId="0" xfId="586" applyNumberFormat="1" applyFont="1" applyFill="1" applyBorder="1" applyAlignment="1">
      <alignment/>
      <protection/>
    </xf>
    <xf numFmtId="4" fontId="5" fillId="0" borderId="0" xfId="586" applyNumberFormat="1" applyFont="1" applyFill="1" applyBorder="1" applyAlignment="1">
      <alignment horizontal="left"/>
      <protection/>
    </xf>
    <xf numFmtId="4" fontId="5" fillId="0" borderId="0" xfId="586" applyNumberFormat="1" applyFont="1" applyFill="1" applyBorder="1" applyAlignment="1">
      <alignment horizontal="center"/>
      <protection/>
    </xf>
    <xf numFmtId="0" fontId="38" fillId="0" borderId="13" xfId="586" applyFont="1" applyFill="1" applyBorder="1">
      <alignment/>
      <protection/>
    </xf>
    <xf numFmtId="0" fontId="38" fillId="0" borderId="14" xfId="586" applyFont="1" applyBorder="1">
      <alignment/>
      <protection/>
    </xf>
    <xf numFmtId="0" fontId="38" fillId="0" borderId="14" xfId="586" applyFont="1" applyFill="1" applyBorder="1">
      <alignment/>
      <protection/>
    </xf>
    <xf numFmtId="4" fontId="37" fillId="0" borderId="22" xfId="586" applyNumberFormat="1" applyFont="1" applyBorder="1" applyAlignment="1">
      <alignment horizontal="left"/>
      <protection/>
    </xf>
    <xf numFmtId="4" fontId="37" fillId="6" borderId="15" xfId="586" applyNumberFormat="1" applyFont="1" applyFill="1" applyBorder="1" applyAlignment="1">
      <alignment horizontal="left"/>
      <protection/>
    </xf>
    <xf numFmtId="4" fontId="38" fillId="15" borderId="21" xfId="586" applyNumberFormat="1" applyFont="1" applyFill="1" applyBorder="1" applyAlignment="1">
      <alignment horizontal="right"/>
      <protection/>
    </xf>
    <xf numFmtId="4" fontId="38" fillId="15" borderId="24" xfId="586" applyNumberFormat="1" applyFont="1" applyFill="1" applyBorder="1" applyAlignment="1">
      <alignment horizontal="right"/>
      <protection/>
    </xf>
    <xf numFmtId="0" fontId="38" fillId="0" borderId="13" xfId="586" applyFont="1" applyBorder="1">
      <alignment/>
      <protection/>
    </xf>
    <xf numFmtId="0" fontId="38" fillId="0" borderId="14" xfId="586" applyFont="1" applyFill="1" applyBorder="1" applyAlignment="1">
      <alignment vertical="top"/>
      <protection/>
    </xf>
    <xf numFmtId="0" fontId="38" fillId="0" borderId="14" xfId="586" applyFont="1" applyFill="1" applyBorder="1" applyAlignment="1">
      <alignment horizontal="left"/>
      <protection/>
    </xf>
    <xf numFmtId="0" fontId="38" fillId="0" borderId="13" xfId="586" applyFont="1" applyFill="1" applyBorder="1" applyAlignment="1">
      <alignment horizontal="right"/>
      <protection/>
    </xf>
    <xf numFmtId="0" fontId="39" fillId="0" borderId="14" xfId="586" applyFont="1" applyFill="1" applyBorder="1" applyAlignment="1">
      <alignment vertical="top"/>
      <protection/>
    </xf>
    <xf numFmtId="0" fontId="39" fillId="0" borderId="14" xfId="586" applyFont="1" applyFill="1" applyBorder="1" applyAlignment="1">
      <alignment horizontal="left"/>
      <protection/>
    </xf>
    <xf numFmtId="4" fontId="39" fillId="0" borderId="22" xfId="586" applyNumberFormat="1" applyFont="1" applyBorder="1" applyAlignment="1">
      <alignment horizontal="left"/>
      <protection/>
    </xf>
    <xf numFmtId="0" fontId="69" fillId="0" borderId="17" xfId="586" applyFont="1" applyBorder="1">
      <alignment/>
      <protection/>
    </xf>
    <xf numFmtId="0" fontId="69" fillId="0" borderId="18" xfId="586" applyFont="1" applyBorder="1">
      <alignment/>
      <protection/>
    </xf>
    <xf numFmtId="0" fontId="38" fillId="0" borderId="22" xfId="586" applyFont="1" applyFill="1" applyBorder="1">
      <alignment/>
      <protection/>
    </xf>
    <xf numFmtId="4" fontId="36" fillId="15" borderId="23" xfId="586" applyNumberFormat="1" applyFont="1" applyFill="1" applyBorder="1">
      <alignment/>
      <protection/>
    </xf>
    <xf numFmtId="4" fontId="36" fillId="15" borderId="19" xfId="586" applyNumberFormat="1" applyFont="1" applyFill="1" applyBorder="1">
      <alignment/>
      <protection/>
    </xf>
    <xf numFmtId="0" fontId="37" fillId="0" borderId="13" xfId="586" applyFont="1" applyFill="1" applyBorder="1" applyAlignment="1">
      <alignment horizontal="left"/>
      <protection/>
    </xf>
    <xf numFmtId="0" fontId="37" fillId="0" borderId="14" xfId="586" applyFont="1" applyFill="1" applyBorder="1" applyAlignment="1">
      <alignment horizontal="right"/>
      <protection/>
    </xf>
    <xf numFmtId="4" fontId="69" fillId="0" borderId="22" xfId="586" applyNumberFormat="1" applyFont="1" applyBorder="1">
      <alignment/>
      <protection/>
    </xf>
    <xf numFmtId="0" fontId="37" fillId="0" borderId="13" xfId="586" applyFont="1" applyFill="1" applyBorder="1" applyAlignment="1">
      <alignment horizontal="right"/>
      <protection/>
    </xf>
    <xf numFmtId="0" fontId="67" fillId="0" borderId="14" xfId="586" applyFont="1" applyFill="1" applyBorder="1" applyAlignment="1">
      <alignment horizontal="left"/>
      <protection/>
    </xf>
    <xf numFmtId="4" fontId="67" fillId="0" borderId="15" xfId="586" applyNumberFormat="1" applyFont="1" applyFill="1" applyBorder="1">
      <alignment/>
      <protection/>
    </xf>
    <xf numFmtId="4" fontId="67" fillId="0" borderId="22" xfId="586" applyNumberFormat="1" applyFont="1" applyFill="1" applyBorder="1" applyAlignment="1">
      <alignment horizontal="right"/>
      <protection/>
    </xf>
    <xf numFmtId="4" fontId="67" fillId="0" borderId="15" xfId="586" applyNumberFormat="1" applyFont="1" applyBorder="1" applyAlignment="1">
      <alignment horizontal="right"/>
      <protection/>
    </xf>
    <xf numFmtId="4" fontId="67" fillId="0" borderId="22" xfId="586" applyNumberFormat="1" applyFont="1" applyBorder="1" applyAlignment="1">
      <alignment horizontal="right"/>
      <protection/>
    </xf>
    <xf numFmtId="4" fontId="67" fillId="0" borderId="15" xfId="586" applyNumberFormat="1" applyFont="1" applyFill="1" applyBorder="1" applyAlignment="1">
      <alignment horizontal="right"/>
      <protection/>
    </xf>
    <xf numFmtId="0" fontId="38" fillId="6" borderId="14" xfId="586" applyFont="1" applyFill="1" applyBorder="1">
      <alignment/>
      <protection/>
    </xf>
    <xf numFmtId="0" fontId="37" fillId="0" borderId="20" xfId="586" applyFont="1" applyFill="1" applyBorder="1" applyAlignment="1">
      <alignment horizontal="left"/>
      <protection/>
    </xf>
    <xf numFmtId="0" fontId="38" fillId="0" borderId="0" xfId="586" applyFont="1" applyFill="1" applyBorder="1" applyAlignment="1">
      <alignment horizontal="left"/>
      <protection/>
    </xf>
    <xf numFmtId="0" fontId="77" fillId="0" borderId="0" xfId="586" applyFont="1" applyBorder="1">
      <alignment/>
      <protection/>
    </xf>
    <xf numFmtId="0" fontId="39" fillId="0" borderId="13" xfId="586" applyFont="1" applyFill="1" applyBorder="1" applyAlignment="1">
      <alignment horizontal="left"/>
      <protection/>
    </xf>
    <xf numFmtId="4" fontId="67" fillId="0" borderId="15" xfId="586" applyNumberFormat="1" applyFont="1" applyBorder="1" applyAlignment="1">
      <alignment horizontal="left"/>
      <protection/>
    </xf>
    <xf numFmtId="4" fontId="67" fillId="0" borderId="22" xfId="586" applyNumberFormat="1" applyFont="1" applyBorder="1" applyAlignment="1">
      <alignment horizontal="left"/>
      <protection/>
    </xf>
    <xf numFmtId="4" fontId="67" fillId="0" borderId="15" xfId="586" applyNumberFormat="1" applyFont="1" applyFill="1" applyBorder="1" applyAlignment="1">
      <alignment horizontal="left"/>
      <protection/>
    </xf>
    <xf numFmtId="0" fontId="69" fillId="0" borderId="0" xfId="586" applyFont="1" applyFill="1" applyBorder="1" applyAlignment="1">
      <alignment horizontal="right"/>
      <protection/>
    </xf>
    <xf numFmtId="4" fontId="67" fillId="0" borderId="21" xfId="586" applyNumberFormat="1" applyFont="1" applyFill="1" applyBorder="1" applyAlignment="1">
      <alignment horizontal="left"/>
      <protection/>
    </xf>
    <xf numFmtId="4" fontId="69" fillId="0" borderId="22" xfId="586" applyNumberFormat="1" applyFont="1" applyFill="1" applyBorder="1">
      <alignment/>
      <protection/>
    </xf>
    <xf numFmtId="3" fontId="37" fillId="0" borderId="14" xfId="586" applyNumberFormat="1" applyFont="1" applyBorder="1">
      <alignment/>
      <protection/>
    </xf>
    <xf numFmtId="4" fontId="37" fillId="0" borderId="16" xfId="586" applyNumberFormat="1" applyFont="1" applyBorder="1" applyAlignment="1">
      <alignment horizontal="left"/>
      <protection/>
    </xf>
    <xf numFmtId="4" fontId="37" fillId="0" borderId="27" xfId="586" applyNumberFormat="1" applyFont="1" applyBorder="1" applyAlignment="1">
      <alignment horizontal="left"/>
      <protection/>
    </xf>
    <xf numFmtId="4" fontId="37" fillId="0" borderId="16" xfId="586" applyNumberFormat="1" applyFont="1" applyFill="1" applyBorder="1" applyAlignment="1">
      <alignment horizontal="left"/>
      <protection/>
    </xf>
    <xf numFmtId="4" fontId="38" fillId="0" borderId="15" xfId="586" applyNumberFormat="1" applyFont="1" applyBorder="1">
      <alignment/>
      <protection/>
    </xf>
    <xf numFmtId="4" fontId="38" fillId="0" borderId="22" xfId="586" applyNumberFormat="1" applyFont="1" applyBorder="1">
      <alignment/>
      <protection/>
    </xf>
    <xf numFmtId="4" fontId="38" fillId="0" borderId="15" xfId="586" applyNumberFormat="1" applyFont="1" applyFill="1" applyBorder="1">
      <alignment/>
      <protection/>
    </xf>
    <xf numFmtId="4" fontId="38" fillId="6" borderId="15" xfId="586" applyNumberFormat="1" applyFont="1" applyFill="1" applyBorder="1">
      <alignment/>
      <protection/>
    </xf>
    <xf numFmtId="4" fontId="34" fillId="0" borderId="0" xfId="586" applyNumberFormat="1" applyFont="1" applyFill="1" applyBorder="1">
      <alignment/>
      <protection/>
    </xf>
    <xf numFmtId="4" fontId="38" fillId="0" borderId="22" xfId="586" applyNumberFormat="1" applyFont="1" applyFill="1" applyBorder="1" applyAlignment="1">
      <alignment horizontal="right"/>
      <protection/>
    </xf>
    <xf numFmtId="4" fontId="38" fillId="6" borderId="15" xfId="586" applyNumberFormat="1" applyFont="1" applyFill="1" applyBorder="1" applyAlignment="1">
      <alignment horizontal="right"/>
      <protection/>
    </xf>
    <xf numFmtId="49" fontId="37" fillId="0" borderId="13" xfId="586" applyNumberFormat="1" applyFont="1" applyFill="1" applyBorder="1" applyAlignment="1">
      <alignment horizontal="left"/>
      <protection/>
    </xf>
    <xf numFmtId="0" fontId="39" fillId="0" borderId="13" xfId="586" applyFont="1" applyFill="1" applyBorder="1">
      <alignment/>
      <protection/>
    </xf>
    <xf numFmtId="0" fontId="35" fillId="0" borderId="14" xfId="586" applyFont="1" applyFill="1" applyBorder="1" applyAlignment="1">
      <alignment vertical="top"/>
      <protection/>
    </xf>
    <xf numFmtId="3" fontId="37" fillId="0" borderId="0" xfId="586" applyNumberFormat="1" applyFont="1" applyFill="1" applyBorder="1" applyAlignment="1">
      <alignment horizontal="right" vertical="center"/>
      <protection/>
    </xf>
    <xf numFmtId="3" fontId="37" fillId="0" borderId="0" xfId="586" applyNumberFormat="1" applyFont="1" applyFill="1" applyBorder="1" applyAlignment="1">
      <alignment horizontal="left" vertical="center"/>
      <protection/>
    </xf>
    <xf numFmtId="3" fontId="39" fillId="0" borderId="0" xfId="586" applyNumberFormat="1" applyFont="1" applyFill="1" applyBorder="1" applyAlignment="1">
      <alignment horizontal="left"/>
      <protection/>
    </xf>
    <xf numFmtId="3" fontId="39" fillId="0" borderId="0" xfId="586" applyNumberFormat="1" applyFont="1" applyFill="1" applyBorder="1" applyAlignment="1">
      <alignment horizontal="right"/>
      <protection/>
    </xf>
    <xf numFmtId="0" fontId="69" fillId="8" borderId="13" xfId="586" applyFont="1" applyFill="1" applyBorder="1">
      <alignment/>
      <protection/>
    </xf>
    <xf numFmtId="0" fontId="69" fillId="8" borderId="14" xfId="586" applyFont="1" applyFill="1" applyBorder="1">
      <alignment/>
      <protection/>
    </xf>
    <xf numFmtId="4" fontId="78" fillId="0" borderId="15" xfId="586" applyNumberFormat="1" applyFont="1" applyBorder="1" applyAlignment="1">
      <alignment horizontal="left"/>
      <protection/>
    </xf>
    <xf numFmtId="4" fontId="78" fillId="0" borderId="22" xfId="586" applyNumberFormat="1" applyFont="1" applyBorder="1" applyAlignment="1">
      <alignment horizontal="left"/>
      <protection/>
    </xf>
    <xf numFmtId="4" fontId="78" fillId="0" borderId="15" xfId="586" applyNumberFormat="1" applyFont="1" applyFill="1" applyBorder="1" applyAlignment="1">
      <alignment horizontal="left"/>
      <protection/>
    </xf>
    <xf numFmtId="4" fontId="79" fillId="0" borderId="0" xfId="586" applyNumberFormat="1" applyFont="1" applyFill="1" applyBorder="1" applyAlignment="1">
      <alignment horizontal="right"/>
      <protection/>
    </xf>
    <xf numFmtId="3" fontId="78" fillId="0" borderId="0" xfId="586" applyNumberFormat="1" applyFont="1" applyFill="1" applyBorder="1" applyAlignment="1">
      <alignment horizontal="left"/>
      <protection/>
    </xf>
    <xf numFmtId="3" fontId="67" fillId="0" borderId="0" xfId="586" applyNumberFormat="1" applyFont="1" applyFill="1" applyBorder="1" applyAlignment="1">
      <alignment horizontal="right"/>
      <protection/>
    </xf>
    <xf numFmtId="0" fontId="69" fillId="20" borderId="13" xfId="586" applyFont="1" applyFill="1" applyBorder="1">
      <alignment/>
      <protection/>
    </xf>
    <xf numFmtId="0" fontId="69" fillId="0" borderId="22" xfId="586" applyFont="1" applyFill="1" applyBorder="1">
      <alignment/>
      <protection/>
    </xf>
    <xf numFmtId="49" fontId="32" fillId="4" borderId="25" xfId="586" applyNumberFormat="1" applyFont="1" applyFill="1" applyBorder="1" applyAlignment="1">
      <alignment horizontal="right"/>
      <protection/>
    </xf>
    <xf numFmtId="0" fontId="37" fillId="4" borderId="27" xfId="586" applyFont="1" applyFill="1" applyBorder="1">
      <alignment/>
      <protection/>
    </xf>
    <xf numFmtId="0" fontId="32" fillId="4" borderId="16" xfId="586" applyFont="1" applyFill="1" applyBorder="1">
      <alignment/>
      <protection/>
    </xf>
    <xf numFmtId="4" fontId="36" fillId="4" borderId="23" xfId="586" applyNumberFormat="1" applyFont="1" applyFill="1" applyBorder="1">
      <alignment/>
      <protection/>
    </xf>
    <xf numFmtId="4" fontId="36" fillId="4" borderId="70" xfId="586" applyNumberFormat="1" applyFont="1" applyFill="1" applyBorder="1">
      <alignment/>
      <protection/>
    </xf>
    <xf numFmtId="0" fontId="78" fillId="0" borderId="0" xfId="586" applyFont="1" applyFill="1" applyBorder="1" applyAlignment="1">
      <alignment horizontal="left"/>
      <protection/>
    </xf>
    <xf numFmtId="0" fontId="67" fillId="0" borderId="0" xfId="586" applyFont="1" applyFill="1" applyBorder="1">
      <alignment/>
      <protection/>
    </xf>
    <xf numFmtId="0" fontId="5" fillId="8" borderId="0" xfId="586" applyFont="1" applyFill="1" applyBorder="1">
      <alignment/>
      <protection/>
    </xf>
    <xf numFmtId="0" fontId="32" fillId="3" borderId="69" xfId="586" applyFont="1" applyFill="1" applyBorder="1">
      <alignment/>
      <protection/>
    </xf>
    <xf numFmtId="0" fontId="5" fillId="3" borderId="42" xfId="586" applyFont="1" applyFill="1" applyBorder="1">
      <alignment/>
      <protection/>
    </xf>
    <xf numFmtId="0" fontId="32" fillId="3" borderId="43" xfId="586" applyFont="1" applyFill="1" applyBorder="1">
      <alignment/>
      <protection/>
    </xf>
    <xf numFmtId="4" fontId="36" fillId="3" borderId="43" xfId="586" applyNumberFormat="1" applyFont="1" applyFill="1" applyBorder="1">
      <alignment/>
      <protection/>
    </xf>
    <xf numFmtId="4" fontId="38" fillId="3" borderId="35" xfId="586" applyNumberFormat="1" applyFont="1" applyFill="1" applyBorder="1" applyAlignment="1">
      <alignment horizontal="right"/>
      <protection/>
    </xf>
    <xf numFmtId="4" fontId="38" fillId="3" borderId="34" xfId="586" applyNumberFormat="1" applyFont="1" applyFill="1" applyBorder="1" applyAlignment="1">
      <alignment horizontal="right"/>
      <protection/>
    </xf>
    <xf numFmtId="4" fontId="32" fillId="8" borderId="0" xfId="586" applyNumberFormat="1" applyFont="1" applyFill="1" applyBorder="1">
      <alignment/>
      <protection/>
    </xf>
    <xf numFmtId="0" fontId="80" fillId="7" borderId="22" xfId="586" applyFont="1" applyFill="1" applyBorder="1" applyAlignment="1">
      <alignment horizontal="center"/>
      <protection/>
    </xf>
    <xf numFmtId="0" fontId="36" fillId="4" borderId="13" xfId="586" applyFont="1" applyFill="1" applyBorder="1">
      <alignment/>
      <protection/>
    </xf>
    <xf numFmtId="0" fontId="36" fillId="4" borderId="14" xfId="586" applyFont="1" applyFill="1" applyBorder="1">
      <alignment/>
      <protection/>
    </xf>
    <xf numFmtId="0" fontId="36" fillId="4" borderId="22" xfId="586" applyFont="1" applyFill="1" applyBorder="1">
      <alignment/>
      <protection/>
    </xf>
    <xf numFmtId="4" fontId="38" fillId="4" borderId="24" xfId="586" applyNumberFormat="1" applyFont="1" applyFill="1" applyBorder="1">
      <alignment/>
      <protection/>
    </xf>
    <xf numFmtId="4" fontId="37" fillId="0" borderId="23" xfId="586" applyNumberFormat="1" applyFont="1" applyBorder="1">
      <alignment/>
      <protection/>
    </xf>
    <xf numFmtId="176" fontId="36" fillId="4" borderId="13" xfId="586" applyNumberFormat="1" applyFont="1" applyFill="1" applyBorder="1">
      <alignment/>
      <protection/>
    </xf>
    <xf numFmtId="0" fontId="67" fillId="0" borderId="13" xfId="586" applyFont="1" applyFill="1" applyBorder="1">
      <alignment/>
      <protection/>
    </xf>
    <xf numFmtId="0" fontId="67" fillId="0" borderId="14" xfId="586" applyFont="1" applyFill="1" applyBorder="1">
      <alignment/>
      <protection/>
    </xf>
    <xf numFmtId="0" fontId="67" fillId="0" borderId="22" xfId="586" applyFont="1" applyFill="1" applyBorder="1">
      <alignment/>
      <protection/>
    </xf>
    <xf numFmtId="4" fontId="5" fillId="0" borderId="23" xfId="586" applyNumberFormat="1" applyFont="1" applyBorder="1">
      <alignment/>
      <protection/>
    </xf>
    <xf numFmtId="4" fontId="38" fillId="4" borderId="21" xfId="586" applyNumberFormat="1" applyFont="1" applyFill="1" applyBorder="1">
      <alignment/>
      <protection/>
    </xf>
    <xf numFmtId="0" fontId="38" fillId="4" borderId="17" xfId="586" applyFont="1" applyFill="1" applyBorder="1">
      <alignment/>
      <protection/>
    </xf>
    <xf numFmtId="0" fontId="38" fillId="4" borderId="18" xfId="586" applyFont="1" applyFill="1" applyBorder="1">
      <alignment/>
      <protection/>
    </xf>
    <xf numFmtId="0" fontId="38" fillId="4" borderId="24" xfId="586" applyFont="1" applyFill="1" applyBorder="1">
      <alignment/>
      <protection/>
    </xf>
    <xf numFmtId="4" fontId="38" fillId="4" borderId="15" xfId="586" applyNumberFormat="1" applyFont="1" applyFill="1" applyBorder="1">
      <alignment/>
      <protection/>
    </xf>
    <xf numFmtId="0" fontId="36" fillId="0" borderId="0" xfId="586" applyFont="1" applyBorder="1">
      <alignment/>
      <protection/>
    </xf>
    <xf numFmtId="0" fontId="67" fillId="0" borderId="13" xfId="586" applyFont="1" applyBorder="1">
      <alignment/>
      <protection/>
    </xf>
    <xf numFmtId="0" fontId="67" fillId="0" borderId="14" xfId="586" applyFont="1" applyBorder="1">
      <alignment/>
      <protection/>
    </xf>
    <xf numFmtId="0" fontId="67" fillId="0" borderId="22" xfId="586" applyFont="1" applyBorder="1">
      <alignment/>
      <protection/>
    </xf>
    <xf numFmtId="4" fontId="39" fillId="0" borderId="16" xfId="586" applyNumberFormat="1" applyFont="1" applyBorder="1">
      <alignment/>
      <protection/>
    </xf>
    <xf numFmtId="4" fontId="39" fillId="0" borderId="16" xfId="586" applyNumberFormat="1" applyFont="1" applyFill="1" applyBorder="1">
      <alignment/>
      <protection/>
    </xf>
    <xf numFmtId="3" fontId="67" fillId="0" borderId="0" xfId="586" applyNumberFormat="1" applyFont="1" applyFill="1" applyBorder="1">
      <alignment/>
      <protection/>
    </xf>
    <xf numFmtId="4" fontId="48" fillId="0" borderId="15" xfId="586" applyNumberFormat="1" applyFont="1" applyBorder="1">
      <alignment/>
      <protection/>
    </xf>
    <xf numFmtId="0" fontId="36" fillId="4" borderId="17" xfId="586" applyFont="1" applyFill="1" applyBorder="1">
      <alignment/>
      <protection/>
    </xf>
    <xf numFmtId="0" fontId="36" fillId="4" borderId="18" xfId="586" applyFont="1" applyFill="1" applyBorder="1">
      <alignment/>
      <protection/>
    </xf>
    <xf numFmtId="0" fontId="36" fillId="4" borderId="24" xfId="586" applyFont="1" applyFill="1" applyBorder="1">
      <alignment/>
      <protection/>
    </xf>
    <xf numFmtId="4" fontId="38" fillId="4" borderId="17" xfId="586" applyNumberFormat="1" applyFont="1" applyFill="1" applyBorder="1">
      <alignment/>
      <protection/>
    </xf>
    <xf numFmtId="177" fontId="38" fillId="0" borderId="0" xfId="586" applyNumberFormat="1" applyFont="1" applyFill="1" applyBorder="1">
      <alignment/>
      <protection/>
    </xf>
    <xf numFmtId="178" fontId="38" fillId="0" borderId="0" xfId="586" applyNumberFormat="1" applyFont="1" applyFill="1" applyBorder="1">
      <alignment/>
      <protection/>
    </xf>
    <xf numFmtId="0" fontId="34" fillId="0" borderId="14" xfId="586" applyFont="1" applyBorder="1">
      <alignment/>
      <protection/>
    </xf>
    <xf numFmtId="177" fontId="37" fillId="0" borderId="0" xfId="586" applyNumberFormat="1" applyFont="1" applyFill="1" applyBorder="1" applyAlignment="1">
      <alignment horizontal="left"/>
      <protection/>
    </xf>
    <xf numFmtId="177" fontId="37" fillId="0" borderId="0" xfId="586" applyNumberFormat="1" applyFont="1" applyFill="1" applyBorder="1">
      <alignment/>
      <protection/>
    </xf>
    <xf numFmtId="0" fontId="67" fillId="0" borderId="93" xfId="586" applyFont="1" applyBorder="1">
      <alignment/>
      <protection/>
    </xf>
    <xf numFmtId="0" fontId="67" fillId="0" borderId="94" xfId="586" applyFont="1" applyBorder="1">
      <alignment/>
      <protection/>
    </xf>
    <xf numFmtId="4" fontId="37" fillId="6" borderId="21" xfId="586" applyNumberFormat="1" applyFont="1" applyFill="1" applyBorder="1">
      <alignment/>
      <protection/>
    </xf>
    <xf numFmtId="177" fontId="36" fillId="0" borderId="0" xfId="586" applyNumberFormat="1" applyFont="1" applyFill="1" applyBorder="1">
      <alignment/>
      <protection/>
    </xf>
    <xf numFmtId="0" fontId="35" fillId="0" borderId="0" xfId="586" applyFont="1" applyFill="1" applyBorder="1">
      <alignment/>
      <protection/>
    </xf>
    <xf numFmtId="0" fontId="32" fillId="3" borderId="42" xfId="586" applyFont="1" applyFill="1" applyBorder="1">
      <alignment/>
      <protection/>
    </xf>
    <xf numFmtId="4" fontId="36" fillId="3" borderId="35" xfId="586" applyNumberFormat="1" applyFont="1" applyFill="1" applyBorder="1">
      <alignment/>
      <protection/>
    </xf>
    <xf numFmtId="4" fontId="38" fillId="3" borderId="43" xfId="586" applyNumberFormat="1" applyFont="1" applyFill="1" applyBorder="1" applyAlignment="1">
      <alignment horizontal="right"/>
      <protection/>
    </xf>
    <xf numFmtId="4" fontId="38" fillId="3" borderId="95" xfId="586" applyNumberFormat="1" applyFont="1" applyFill="1" applyBorder="1" applyAlignment="1">
      <alignment horizontal="right"/>
      <protection/>
    </xf>
    <xf numFmtId="177" fontId="38" fillId="0" borderId="0" xfId="586" applyNumberFormat="1" applyFont="1" applyFill="1" applyBorder="1" applyAlignment="1">
      <alignment horizontal="right"/>
      <protection/>
    </xf>
    <xf numFmtId="4" fontId="38" fillId="3" borderId="35" xfId="586" applyNumberFormat="1" applyFont="1" applyFill="1" applyBorder="1">
      <alignment/>
      <protection/>
    </xf>
    <xf numFmtId="4" fontId="38" fillId="3" borderId="96" xfId="586" applyNumberFormat="1" applyFont="1" applyFill="1" applyBorder="1">
      <alignment/>
      <protection/>
    </xf>
    <xf numFmtId="0" fontId="44" fillId="4" borderId="13" xfId="586" applyFont="1" applyFill="1" applyBorder="1">
      <alignment/>
      <protection/>
    </xf>
    <xf numFmtId="0" fontId="68" fillId="4" borderId="13" xfId="586" applyFont="1" applyFill="1" applyBorder="1">
      <alignment/>
      <protection/>
    </xf>
    <xf numFmtId="0" fontId="68" fillId="4" borderId="14" xfId="586" applyFont="1" applyFill="1" applyBorder="1">
      <alignment/>
      <protection/>
    </xf>
    <xf numFmtId="0" fontId="44" fillId="4" borderId="21" xfId="586" applyFont="1" applyFill="1" applyBorder="1" applyAlignment="1">
      <alignment horizontal="center"/>
      <protection/>
    </xf>
    <xf numFmtId="3" fontId="44" fillId="4" borderId="24" xfId="586" applyNumberFormat="1" applyFont="1" applyFill="1" applyBorder="1" applyAlignment="1">
      <alignment horizontal="center" vertical="top"/>
      <protection/>
    </xf>
    <xf numFmtId="1" fontId="44" fillId="4" borderId="15" xfId="586" applyNumberFormat="1" applyFont="1" applyFill="1" applyBorder="1" applyAlignment="1">
      <alignment horizontal="center" vertical="center"/>
      <protection/>
    </xf>
    <xf numFmtId="1" fontId="32" fillId="4" borderId="22" xfId="586" applyNumberFormat="1" applyFont="1" applyFill="1" applyBorder="1" applyAlignment="1">
      <alignment horizontal="center" vertical="center"/>
      <protection/>
    </xf>
    <xf numFmtId="0" fontId="81" fillId="0" borderId="13" xfId="586" applyFont="1" applyBorder="1">
      <alignment/>
      <protection/>
    </xf>
    <xf numFmtId="0" fontId="81" fillId="0" borderId="14" xfId="586" applyFont="1" applyBorder="1">
      <alignment/>
      <protection/>
    </xf>
    <xf numFmtId="4" fontId="37" fillId="0" borderId="24" xfId="586" applyNumberFormat="1" applyFont="1" applyBorder="1">
      <alignment/>
      <protection/>
    </xf>
    <xf numFmtId="2" fontId="44" fillId="0" borderId="0" xfId="586" applyNumberFormat="1" applyFont="1" applyFill="1" applyBorder="1" applyAlignment="1">
      <alignment horizontal="center" vertical="center"/>
      <protection/>
    </xf>
    <xf numFmtId="1" fontId="44" fillId="0" borderId="0" xfId="586" applyNumberFormat="1" applyFont="1" applyFill="1" applyBorder="1" applyAlignment="1">
      <alignment horizontal="center" vertical="top"/>
      <protection/>
    </xf>
    <xf numFmtId="0" fontId="37" fillId="0" borderId="0" xfId="586" applyFont="1" applyFill="1" applyBorder="1" applyAlignment="1">
      <alignment horizontal="center"/>
      <protection/>
    </xf>
    <xf numFmtId="3" fontId="40" fillId="0" borderId="0" xfId="586" applyNumberFormat="1" applyFont="1" applyBorder="1">
      <alignment/>
      <protection/>
    </xf>
    <xf numFmtId="4" fontId="37" fillId="0" borderId="27" xfId="586" applyNumberFormat="1" applyFont="1" applyBorder="1">
      <alignment/>
      <protection/>
    </xf>
    <xf numFmtId="0" fontId="82" fillId="4" borderId="13" xfId="586" applyFont="1" applyFill="1" applyBorder="1">
      <alignment/>
      <protection/>
    </xf>
    <xf numFmtId="0" fontId="81" fillId="4" borderId="14" xfId="586" applyFont="1" applyFill="1" applyBorder="1">
      <alignment/>
      <protection/>
    </xf>
    <xf numFmtId="4" fontId="37" fillId="4" borderId="15" xfId="586" applyNumberFormat="1" applyFont="1" applyFill="1" applyBorder="1">
      <alignment/>
      <protection/>
    </xf>
    <xf numFmtId="4" fontId="37" fillId="4" borderId="22" xfId="586" applyNumberFormat="1" applyFont="1" applyFill="1" applyBorder="1">
      <alignment/>
      <protection/>
    </xf>
    <xf numFmtId="4" fontId="37" fillId="4" borderId="15" xfId="586" applyNumberFormat="1" applyFont="1" applyFill="1" applyBorder="1" applyAlignment="1">
      <alignment horizontal="right"/>
      <protection/>
    </xf>
    <xf numFmtId="3" fontId="42" fillId="0" borderId="0" xfId="586" applyNumberFormat="1" applyFont="1" applyBorder="1">
      <alignment/>
      <protection/>
    </xf>
    <xf numFmtId="0" fontId="83" fillId="0" borderId="0" xfId="586" applyFont="1" applyBorder="1">
      <alignment/>
      <protection/>
    </xf>
    <xf numFmtId="0" fontId="81" fillId="0" borderId="0" xfId="586" applyFont="1" applyBorder="1">
      <alignment/>
      <protection/>
    </xf>
    <xf numFmtId="0" fontId="5" fillId="0" borderId="0" xfId="586" applyFont="1" applyFill="1" applyBorder="1" applyAlignment="1">
      <alignment horizontal="center"/>
      <protection/>
    </xf>
    <xf numFmtId="4" fontId="37" fillId="4" borderId="27" xfId="586" applyNumberFormat="1" applyFont="1" applyFill="1" applyBorder="1">
      <alignment/>
      <protection/>
    </xf>
    <xf numFmtId="3" fontId="0" fillId="26" borderId="55" xfId="0" applyNumberFormat="1" applyFont="1" applyFill="1" applyBorder="1" applyAlignment="1">
      <alignment/>
    </xf>
    <xf numFmtId="3" fontId="0" fillId="27" borderId="55" xfId="0" applyNumberFormat="1" applyFont="1" applyFill="1" applyBorder="1" applyAlignment="1">
      <alignment/>
    </xf>
    <xf numFmtId="3" fontId="0" fillId="28" borderId="55" xfId="0" applyNumberFormat="1" applyFont="1" applyFill="1" applyBorder="1" applyAlignment="1">
      <alignment/>
    </xf>
    <xf numFmtId="3" fontId="0" fillId="29" borderId="55" xfId="0" applyNumberFormat="1" applyFont="1" applyFill="1" applyBorder="1" applyAlignment="1">
      <alignment/>
    </xf>
    <xf numFmtId="0" fontId="25" fillId="4" borderId="13" xfId="0" applyFont="1" applyFill="1" applyBorder="1" applyAlignment="1">
      <alignment horizontal="left"/>
    </xf>
    <xf numFmtId="3" fontId="25" fillId="4" borderId="15" xfId="0" applyNumberFormat="1" applyFont="1" applyFill="1" applyBorder="1" applyAlignment="1">
      <alignment horizontal="right"/>
    </xf>
    <xf numFmtId="0" fontId="27" fillId="3" borderId="13" xfId="0" applyFont="1" applyFill="1" applyBorder="1" applyAlignment="1">
      <alignment horizontal="left"/>
    </xf>
    <xf numFmtId="0" fontId="27" fillId="3" borderId="15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3" fontId="27" fillId="3" borderId="15" xfId="0" applyNumberFormat="1" applyFont="1" applyFill="1" applyBorder="1" applyAlignment="1">
      <alignment horizontal="right"/>
    </xf>
    <xf numFmtId="0" fontId="25" fillId="7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49" fontId="25" fillId="4" borderId="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justify" vertical="top"/>
    </xf>
    <xf numFmtId="0" fontId="29" fillId="15" borderId="14" xfId="0" applyFont="1" applyFill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 horizontal="justify" vertical="top"/>
    </xf>
    <xf numFmtId="0" fontId="27" fillId="0" borderId="14" xfId="0" applyFont="1" applyBorder="1" applyAlignment="1">
      <alignment horizontal="left"/>
    </xf>
    <xf numFmtId="49" fontId="29" fillId="15" borderId="14" xfId="0" applyNumberFormat="1" applyFont="1" applyFill="1" applyBorder="1" applyAlignment="1">
      <alignment horizontal="left"/>
    </xf>
    <xf numFmtId="0" fontId="29" fillId="0" borderId="25" xfId="0" applyFont="1" applyBorder="1" applyAlignment="1">
      <alignment horizontal="justify" vertical="top"/>
    </xf>
    <xf numFmtId="0" fontId="23" fillId="0" borderId="0" xfId="0" applyFont="1" applyBorder="1" applyAlignment="1">
      <alignment horizontal="center"/>
    </xf>
    <xf numFmtId="0" fontId="37" fillId="0" borderId="15" xfId="586" applyFont="1" applyBorder="1" applyAlignment="1">
      <alignment horizontal="left"/>
      <protection/>
    </xf>
    <xf numFmtId="0" fontId="32" fillId="4" borderId="0" xfId="586" applyFont="1" applyFill="1" applyBorder="1" applyAlignment="1">
      <alignment horizontal="center"/>
      <protection/>
    </xf>
    <xf numFmtId="0" fontId="44" fillId="4" borderId="0" xfId="586" applyFont="1" applyFill="1" applyBorder="1" applyAlignment="1">
      <alignment horizontal="center"/>
      <protection/>
    </xf>
    <xf numFmtId="2" fontId="33" fillId="4" borderId="0" xfId="586" applyNumberFormat="1" applyFont="1" applyFill="1" applyBorder="1" applyAlignment="1">
      <alignment horizontal="center"/>
      <protection/>
    </xf>
    <xf numFmtId="0" fontId="35" fillId="4" borderId="15" xfId="586" applyFont="1" applyFill="1" applyBorder="1" applyAlignment="1">
      <alignment horizontal="left"/>
      <protection/>
    </xf>
    <xf numFmtId="0" fontId="35" fillId="4" borderId="18" xfId="586" applyFont="1" applyFill="1" applyBorder="1" applyAlignment="1">
      <alignment horizontal="left"/>
      <protection/>
    </xf>
    <xf numFmtId="3" fontId="33" fillId="4" borderId="0" xfId="586" applyNumberFormat="1" applyFont="1" applyFill="1" applyBorder="1" applyAlignment="1">
      <alignment horizontal="center"/>
      <protection/>
    </xf>
    <xf numFmtId="0" fontId="35" fillId="4" borderId="13" xfId="586" applyFont="1" applyFill="1" applyBorder="1" applyAlignment="1">
      <alignment horizontal="left"/>
      <protection/>
    </xf>
    <xf numFmtId="0" fontId="33" fillId="6" borderId="0" xfId="586" applyFont="1" applyFill="1" applyBorder="1" applyAlignment="1">
      <alignment horizontal="center"/>
      <protection/>
    </xf>
    <xf numFmtId="0" fontId="33" fillId="0" borderId="0" xfId="586" applyFont="1" applyBorder="1" applyAlignment="1">
      <alignment horizontal="center"/>
      <protection/>
    </xf>
    <xf numFmtId="0" fontId="0" fillId="9" borderId="31" xfId="0" applyFont="1" applyFill="1" applyBorder="1" applyAlignment="1">
      <alignment horizontal="center" vertical="center"/>
    </xf>
    <xf numFmtId="0" fontId="45" fillId="9" borderId="97" xfId="0" applyFont="1" applyFill="1" applyBorder="1" applyAlignment="1">
      <alignment horizontal="center" vertical="center"/>
    </xf>
    <xf numFmtId="0" fontId="45" fillId="9" borderId="98" xfId="0" applyFont="1" applyFill="1" applyBorder="1" applyAlignment="1">
      <alignment horizontal="center" vertical="center"/>
    </xf>
    <xf numFmtId="49" fontId="54" fillId="10" borderId="20" xfId="0" applyNumberFormat="1" applyFont="1" applyFill="1" applyBorder="1" applyAlignment="1">
      <alignment horizontal="left"/>
    </xf>
    <xf numFmtId="0" fontId="51" fillId="7" borderId="0" xfId="0" applyFont="1" applyFill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71" xfId="0" applyFont="1" applyBorder="1" applyAlignment="1">
      <alignment horizontal="left"/>
    </xf>
    <xf numFmtId="0" fontId="53" fillId="15" borderId="13" xfId="0" applyFont="1" applyFill="1" applyBorder="1" applyAlignment="1">
      <alignment horizontal="left"/>
    </xf>
    <xf numFmtId="49" fontId="51" fillId="15" borderId="13" xfId="0" applyNumberFormat="1" applyFont="1" applyFill="1" applyBorder="1" applyAlignment="1">
      <alignment horizontal="left"/>
    </xf>
    <xf numFmtId="49" fontId="24" fillId="3" borderId="0" xfId="0" applyNumberFormat="1" applyFont="1" applyFill="1" applyBorder="1" applyAlignment="1">
      <alignment horizontal="left"/>
    </xf>
    <xf numFmtId="49" fontId="51" fillId="7" borderId="0" xfId="0" applyNumberFormat="1" applyFont="1" applyFill="1" applyBorder="1" applyAlignment="1">
      <alignment horizontal="left"/>
    </xf>
    <xf numFmtId="0" fontId="0" fillId="3" borderId="79" xfId="0" applyFont="1" applyFill="1" applyBorder="1" applyAlignment="1">
      <alignment horizontal="center"/>
    </xf>
    <xf numFmtId="0" fontId="0" fillId="4" borderId="99" xfId="0" applyFont="1" applyFill="1" applyBorder="1" applyAlignment="1">
      <alignment horizontal="center"/>
    </xf>
    <xf numFmtId="0" fontId="0" fillId="4" borderId="7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15" borderId="79" xfId="0" applyFont="1" applyFill="1" applyBorder="1" applyAlignment="1">
      <alignment horizontal="center"/>
    </xf>
    <xf numFmtId="0" fontId="24" fillId="7" borderId="28" xfId="0" applyFont="1" applyFill="1" applyBorder="1" applyAlignment="1">
      <alignment horizontal="left"/>
    </xf>
    <xf numFmtId="0" fontId="5" fillId="10" borderId="41" xfId="0" applyFont="1" applyFill="1" applyBorder="1" applyAlignment="1">
      <alignment horizontal="center" vertical="center"/>
    </xf>
    <xf numFmtId="0" fontId="49" fillId="10" borderId="35" xfId="0" applyFont="1" applyFill="1" applyBorder="1" applyAlignment="1">
      <alignment horizontal="center"/>
    </xf>
    <xf numFmtId="0" fontId="0" fillId="15" borderId="10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" fillId="10" borderId="101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top"/>
    </xf>
    <xf numFmtId="0" fontId="53" fillId="4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3" fontId="0" fillId="4" borderId="15" xfId="0" applyNumberForma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/>
    </xf>
    <xf numFmtId="3" fontId="32" fillId="4" borderId="0" xfId="586" applyNumberFormat="1" applyFont="1" applyFill="1" applyBorder="1" applyAlignment="1">
      <alignment horizontal="center"/>
      <protection/>
    </xf>
    <xf numFmtId="173" fontId="26" fillId="6" borderId="0" xfId="565" applyFont="1" applyFill="1" applyBorder="1" applyAlignment="1" applyProtection="1">
      <alignment horizontal="center"/>
      <protection/>
    </xf>
    <xf numFmtId="0" fontId="36" fillId="4" borderId="15" xfId="586" applyFont="1" applyFill="1" applyBorder="1" applyAlignment="1">
      <alignment horizontal="left"/>
      <protection/>
    </xf>
    <xf numFmtId="4" fontId="84" fillId="4" borderId="15" xfId="586" applyNumberFormat="1" applyFont="1" applyFill="1" applyBorder="1" applyAlignment="1">
      <alignment horizontal="right"/>
      <protection/>
    </xf>
    <xf numFmtId="4" fontId="84" fillId="0" borderId="0" xfId="586" applyNumberFormat="1" applyFont="1" applyBorder="1">
      <alignment/>
      <protection/>
    </xf>
    <xf numFmtId="4" fontId="84" fillId="0" borderId="0" xfId="586" applyNumberFormat="1" applyFont="1" applyBorder="1" applyAlignment="1">
      <alignment horizontal="right"/>
      <protection/>
    </xf>
  </cellXfs>
  <cellStyles count="6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čiarky_Rozpočet_2013_2015" xfId="425"/>
    <cellStyle name="Dobrá" xfId="426"/>
    <cellStyle name="Explanatory Text" xfId="427"/>
    <cellStyle name="Explanatory Text 1" xfId="428"/>
    <cellStyle name="Explanatory Text 10" xfId="429"/>
    <cellStyle name="Explanatory Text 11" xfId="430"/>
    <cellStyle name="Explanatory Text 12" xfId="431"/>
    <cellStyle name="Explanatory Text 13" xfId="432"/>
    <cellStyle name="Explanatory Text 14" xfId="433"/>
    <cellStyle name="Explanatory Text 2" xfId="434"/>
    <cellStyle name="Explanatory Text 3" xfId="435"/>
    <cellStyle name="Explanatory Text 4" xfId="436"/>
    <cellStyle name="Explanatory Text 5" xfId="437"/>
    <cellStyle name="Explanatory Text 6" xfId="438"/>
    <cellStyle name="Explanatory Text 7" xfId="439"/>
    <cellStyle name="Explanatory Text 8" xfId="440"/>
    <cellStyle name="Explanatory Text 9" xfId="441"/>
    <cellStyle name="Good" xfId="442"/>
    <cellStyle name="Good 1" xfId="443"/>
    <cellStyle name="Good 10" xfId="444"/>
    <cellStyle name="Good 11" xfId="445"/>
    <cellStyle name="Good 12" xfId="446"/>
    <cellStyle name="Good 13" xfId="447"/>
    <cellStyle name="Good 14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" xfId="458"/>
    <cellStyle name="Heading 1 10" xfId="459"/>
    <cellStyle name="Heading 1 11" xfId="460"/>
    <cellStyle name="Heading 1 12" xfId="461"/>
    <cellStyle name="Heading 1 13" xfId="462"/>
    <cellStyle name="Heading 1 14" xfId="463"/>
    <cellStyle name="Heading 1 2" xfId="464"/>
    <cellStyle name="Heading 1 3" xfId="465"/>
    <cellStyle name="Heading 1 4" xfId="466"/>
    <cellStyle name="Heading 1 5" xfId="467"/>
    <cellStyle name="Heading 1 6" xfId="468"/>
    <cellStyle name="Heading 1 7" xfId="469"/>
    <cellStyle name="Heading 1 8" xfId="470"/>
    <cellStyle name="Heading 1 9" xfId="471"/>
    <cellStyle name="Heading 2" xfId="472"/>
    <cellStyle name="Heading 2 1" xfId="473"/>
    <cellStyle name="Heading 2 10" xfId="474"/>
    <cellStyle name="Heading 2 11" xfId="475"/>
    <cellStyle name="Heading 2 12" xfId="476"/>
    <cellStyle name="Heading 2 13" xfId="477"/>
    <cellStyle name="Heading 2 14" xfId="478"/>
    <cellStyle name="Heading 2 2" xfId="479"/>
    <cellStyle name="Heading 2 3" xfId="480"/>
    <cellStyle name="Heading 2 4" xfId="481"/>
    <cellStyle name="Heading 2 5" xfId="482"/>
    <cellStyle name="Heading 2 6" xfId="483"/>
    <cellStyle name="Heading 2 7" xfId="484"/>
    <cellStyle name="Heading 2 8" xfId="485"/>
    <cellStyle name="Heading 2 9" xfId="486"/>
    <cellStyle name="Heading 3" xfId="487"/>
    <cellStyle name="Heading 3 1" xfId="488"/>
    <cellStyle name="Heading 3 10" xfId="489"/>
    <cellStyle name="Heading 3 11" xfId="490"/>
    <cellStyle name="Heading 3 12" xfId="491"/>
    <cellStyle name="Heading 3 13" xfId="492"/>
    <cellStyle name="Heading 3 14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" xfId="502"/>
    <cellStyle name="Heading 4 1" xfId="503"/>
    <cellStyle name="Heading 4 10" xfId="504"/>
    <cellStyle name="Heading 4 11" xfId="505"/>
    <cellStyle name="Heading 4 12" xfId="506"/>
    <cellStyle name="Heading 4 13" xfId="507"/>
    <cellStyle name="Heading 4 14" xfId="508"/>
    <cellStyle name="Heading 4 2" xfId="509"/>
    <cellStyle name="Heading 4 3" xfId="510"/>
    <cellStyle name="Heading 4 4" xfId="511"/>
    <cellStyle name="Heading 4 5" xfId="512"/>
    <cellStyle name="Heading 4 6" xfId="513"/>
    <cellStyle name="Heading 4 7" xfId="514"/>
    <cellStyle name="Heading 4 8" xfId="515"/>
    <cellStyle name="Heading 4 9" xfId="516"/>
    <cellStyle name="Check Cell" xfId="517"/>
    <cellStyle name="Check Cell 1" xfId="518"/>
    <cellStyle name="Check Cell 10" xfId="519"/>
    <cellStyle name="Check Cell 11" xfId="520"/>
    <cellStyle name="Check Cell 12" xfId="521"/>
    <cellStyle name="Check Cell 13" xfId="522"/>
    <cellStyle name="Check Cell 14" xfId="523"/>
    <cellStyle name="Check Cell 2" xfId="524"/>
    <cellStyle name="Check Cell 3" xfId="525"/>
    <cellStyle name="Check Cell 4" xfId="526"/>
    <cellStyle name="Check Cell 5" xfId="527"/>
    <cellStyle name="Check Cell 6" xfId="528"/>
    <cellStyle name="Check Cell 7" xfId="529"/>
    <cellStyle name="Check Cell 8" xfId="530"/>
    <cellStyle name="Check Cell 9" xfId="531"/>
    <cellStyle name="Input" xfId="532"/>
    <cellStyle name="Input 1" xfId="533"/>
    <cellStyle name="Input 10" xfId="534"/>
    <cellStyle name="Input 11" xfId="535"/>
    <cellStyle name="Input 12" xfId="536"/>
    <cellStyle name="Input 13" xfId="537"/>
    <cellStyle name="Input 14" xfId="538"/>
    <cellStyle name="Input 2" xfId="539"/>
    <cellStyle name="Input 3" xfId="540"/>
    <cellStyle name="Input 4" xfId="541"/>
    <cellStyle name="Input 5" xfId="542"/>
    <cellStyle name="Input 6" xfId="543"/>
    <cellStyle name="Input 7" xfId="544"/>
    <cellStyle name="Input 8" xfId="545"/>
    <cellStyle name="Input 9" xfId="546"/>
    <cellStyle name="Kontrolná bunka" xfId="547"/>
    <cellStyle name="Linked Cell" xfId="548"/>
    <cellStyle name="Linked Cell 1" xfId="549"/>
    <cellStyle name="Linked Cell 10" xfId="550"/>
    <cellStyle name="Linked Cell 11" xfId="551"/>
    <cellStyle name="Linked Cell 12" xfId="552"/>
    <cellStyle name="Linked Cell 13" xfId="553"/>
    <cellStyle name="Linked Cell 14" xfId="554"/>
    <cellStyle name="Linked Cell 2" xfId="555"/>
    <cellStyle name="Linked Cell 3" xfId="556"/>
    <cellStyle name="Linked Cell 4" xfId="557"/>
    <cellStyle name="Linked Cell 5" xfId="558"/>
    <cellStyle name="Linked Cell 6" xfId="559"/>
    <cellStyle name="Linked Cell 7" xfId="560"/>
    <cellStyle name="Linked Cell 8" xfId="561"/>
    <cellStyle name="Linked Cell 9" xfId="562"/>
    <cellStyle name="Currency" xfId="563"/>
    <cellStyle name="Currency [0]" xfId="564"/>
    <cellStyle name="meny_Rozpočet_2013_2015" xfId="565"/>
    <cellStyle name="Nadpis 1" xfId="566"/>
    <cellStyle name="Nadpis 2" xfId="567"/>
    <cellStyle name="Nadpis 3" xfId="568"/>
    <cellStyle name="Nadpis 4" xfId="569"/>
    <cellStyle name="Neutral" xfId="570"/>
    <cellStyle name="Neutral 1" xfId="571"/>
    <cellStyle name="Neutral 10" xfId="572"/>
    <cellStyle name="Neutral 11" xfId="573"/>
    <cellStyle name="Neutral 12" xfId="574"/>
    <cellStyle name="Neutral 13" xfId="575"/>
    <cellStyle name="Neutral 14" xfId="576"/>
    <cellStyle name="Neutral 2" xfId="577"/>
    <cellStyle name="Neutral 3" xfId="578"/>
    <cellStyle name="Neutral 4" xfId="579"/>
    <cellStyle name="Neutral 5" xfId="580"/>
    <cellStyle name="Neutral 6" xfId="581"/>
    <cellStyle name="Neutral 7" xfId="582"/>
    <cellStyle name="Neutral 8" xfId="583"/>
    <cellStyle name="Neutral 9" xfId="584"/>
    <cellStyle name="Neutrálna" xfId="585"/>
    <cellStyle name="normálne_Rozpočet_2013_2015" xfId="586"/>
    <cellStyle name="Note" xfId="587"/>
    <cellStyle name="Note 1" xfId="588"/>
    <cellStyle name="Note 10" xfId="589"/>
    <cellStyle name="Note 11" xfId="590"/>
    <cellStyle name="Note 12" xfId="591"/>
    <cellStyle name="Note 13" xfId="592"/>
    <cellStyle name="Note 14" xfId="593"/>
    <cellStyle name="Note 2" xfId="594"/>
    <cellStyle name="Note 3" xfId="595"/>
    <cellStyle name="Note 4" xfId="596"/>
    <cellStyle name="Note 5" xfId="597"/>
    <cellStyle name="Note 6" xfId="598"/>
    <cellStyle name="Note 7" xfId="599"/>
    <cellStyle name="Note 8" xfId="600"/>
    <cellStyle name="Note 9" xfId="601"/>
    <cellStyle name="Output" xfId="602"/>
    <cellStyle name="Output 1" xfId="603"/>
    <cellStyle name="Output 10" xfId="604"/>
    <cellStyle name="Output 11" xfId="605"/>
    <cellStyle name="Output 12" xfId="606"/>
    <cellStyle name="Output 13" xfId="607"/>
    <cellStyle name="Output 14" xfId="608"/>
    <cellStyle name="Output 2" xfId="609"/>
    <cellStyle name="Output 3" xfId="610"/>
    <cellStyle name="Output 4" xfId="611"/>
    <cellStyle name="Output 5" xfId="612"/>
    <cellStyle name="Output 6" xfId="613"/>
    <cellStyle name="Output 7" xfId="614"/>
    <cellStyle name="Output 8" xfId="615"/>
    <cellStyle name="Output 9" xfId="616"/>
    <cellStyle name="Percent" xfId="617"/>
    <cellStyle name="Poznámka" xfId="618"/>
    <cellStyle name="Prepojená bunka" xfId="619"/>
    <cellStyle name="Spolu" xfId="620"/>
    <cellStyle name="Text upozornenia" xfId="621"/>
    <cellStyle name="Title" xfId="622"/>
    <cellStyle name="Title 1" xfId="623"/>
    <cellStyle name="Title 10" xfId="624"/>
    <cellStyle name="Title 11" xfId="625"/>
    <cellStyle name="Title 12" xfId="626"/>
    <cellStyle name="Title 13" xfId="627"/>
    <cellStyle name="Title 14" xfId="628"/>
    <cellStyle name="Title 2" xfId="629"/>
    <cellStyle name="Title 3" xfId="630"/>
    <cellStyle name="Title 4" xfId="631"/>
    <cellStyle name="Title 5" xfId="632"/>
    <cellStyle name="Title 6" xfId="633"/>
    <cellStyle name="Title 7" xfId="634"/>
    <cellStyle name="Title 8" xfId="635"/>
    <cellStyle name="Title 9" xfId="636"/>
    <cellStyle name="Titul" xfId="637"/>
    <cellStyle name="Total" xfId="638"/>
    <cellStyle name="Total 1" xfId="639"/>
    <cellStyle name="Total 10" xfId="640"/>
    <cellStyle name="Total 11" xfId="641"/>
    <cellStyle name="Total 12" xfId="642"/>
    <cellStyle name="Total 13" xfId="643"/>
    <cellStyle name="Total 14" xfId="644"/>
    <cellStyle name="Total 2" xfId="645"/>
    <cellStyle name="Total 3" xfId="646"/>
    <cellStyle name="Total 4" xfId="647"/>
    <cellStyle name="Total 5" xfId="648"/>
    <cellStyle name="Total 6" xfId="649"/>
    <cellStyle name="Total 7" xfId="650"/>
    <cellStyle name="Total 8" xfId="651"/>
    <cellStyle name="Total 9" xfId="652"/>
    <cellStyle name="Vstup" xfId="653"/>
    <cellStyle name="Výpočet" xfId="654"/>
    <cellStyle name="Výstup" xfId="655"/>
    <cellStyle name="Vysvetľujúci text" xfId="656"/>
    <cellStyle name="Warning Text" xfId="657"/>
    <cellStyle name="Warning Text 1" xfId="658"/>
    <cellStyle name="Warning Text 10" xfId="659"/>
    <cellStyle name="Warning Text 11" xfId="660"/>
    <cellStyle name="Warning Text 12" xfId="661"/>
    <cellStyle name="Warning Text 13" xfId="662"/>
    <cellStyle name="Warning Text 14" xfId="663"/>
    <cellStyle name="Warning Text 2" xfId="664"/>
    <cellStyle name="Warning Text 3" xfId="665"/>
    <cellStyle name="Warning Text 4" xfId="666"/>
    <cellStyle name="Warning Text 5" xfId="667"/>
    <cellStyle name="Warning Text 6" xfId="668"/>
    <cellStyle name="Warning Text 7" xfId="669"/>
    <cellStyle name="Warning Text 8" xfId="670"/>
    <cellStyle name="Warning Text 9" xfId="671"/>
    <cellStyle name="Zlá" xfId="672"/>
    <cellStyle name="Zvýraznenie1" xfId="673"/>
    <cellStyle name="Zvýraznenie2" xfId="674"/>
    <cellStyle name="Zvýraznenie3" xfId="675"/>
    <cellStyle name="Zvýraznenie4" xfId="676"/>
    <cellStyle name="Zvýraznenie5" xfId="677"/>
    <cellStyle name="Zvýraznenie6" xfId="6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9" max="9" width="11.8515625" style="2" customWidth="1"/>
  </cols>
  <sheetData>
    <row r="1" spans="1:9" ht="18">
      <c r="A1" s="1247" t="s">
        <v>0</v>
      </c>
      <c r="B1" s="1247"/>
      <c r="C1" s="1247"/>
      <c r="D1" s="1247"/>
      <c r="E1" s="1247"/>
      <c r="F1" s="1247"/>
      <c r="G1" s="1247"/>
      <c r="H1" s="1247"/>
      <c r="I1" s="1247"/>
    </row>
    <row r="2" spans="9:10" ht="12.75">
      <c r="I2" s="3"/>
      <c r="J2" s="4"/>
    </row>
    <row r="3" spans="1:10" ht="15.75">
      <c r="A3" s="1238" t="s">
        <v>1</v>
      </c>
      <c r="B3" s="1238"/>
      <c r="C3" s="1238"/>
      <c r="D3" s="1238"/>
      <c r="E3" s="1238"/>
      <c r="F3" s="1238"/>
      <c r="G3" s="1238"/>
      <c r="H3" s="1238"/>
      <c r="I3" s="5">
        <f>I5+I32+I57</f>
        <v>1614323</v>
      </c>
      <c r="J3" s="6"/>
    </row>
    <row r="4" spans="1:10" ht="15">
      <c r="A4" s="7"/>
      <c r="B4" s="8"/>
      <c r="C4" s="8"/>
      <c r="D4" s="8"/>
      <c r="E4" s="8"/>
      <c r="F4" s="8"/>
      <c r="G4" s="8"/>
      <c r="H4" s="8"/>
      <c r="I4" s="9"/>
      <c r="J4" s="6"/>
    </row>
    <row r="5" spans="1:10" ht="15.75">
      <c r="A5" s="1237" t="s">
        <v>2</v>
      </c>
      <c r="B5" s="1237"/>
      <c r="C5" s="1237"/>
      <c r="D5" s="1237"/>
      <c r="E5" s="1237"/>
      <c r="F5" s="1237"/>
      <c r="G5" s="1237"/>
      <c r="H5" s="1237"/>
      <c r="I5" s="10">
        <f>I7+I9+I11+I13+I15+I17+I19</f>
        <v>831564</v>
      </c>
      <c r="J5" s="6"/>
    </row>
    <row r="6" spans="1:10" ht="15">
      <c r="A6" s="11"/>
      <c r="B6" s="8"/>
      <c r="C6" s="8"/>
      <c r="D6" s="8"/>
      <c r="E6" s="8"/>
      <c r="F6" s="8"/>
      <c r="G6" s="8"/>
      <c r="H6" s="8"/>
      <c r="J6" s="6"/>
    </row>
    <row r="7" spans="1:10" ht="12.75">
      <c r="A7" s="12" t="s">
        <v>3</v>
      </c>
      <c r="B7" s="13" t="s">
        <v>4</v>
      </c>
      <c r="C7" s="13"/>
      <c r="D7" s="13"/>
      <c r="E7" s="13"/>
      <c r="F7" s="13"/>
      <c r="G7" s="13"/>
      <c r="H7" s="13"/>
      <c r="I7" s="14">
        <f>príjmy!M10</f>
        <v>600000</v>
      </c>
      <c r="J7" s="6"/>
    </row>
    <row r="8" spans="1:10" ht="24.75" customHeight="1">
      <c r="A8" s="1243" t="s">
        <v>5</v>
      </c>
      <c r="B8" s="1243"/>
      <c r="C8" s="1243"/>
      <c r="D8" s="1243"/>
      <c r="E8" s="1243"/>
      <c r="F8" s="1243"/>
      <c r="G8" s="1243"/>
      <c r="H8" s="1243"/>
      <c r="I8" s="15"/>
      <c r="J8" s="6"/>
    </row>
    <row r="9" spans="1:10" ht="12.75">
      <c r="A9" s="12" t="s">
        <v>6</v>
      </c>
      <c r="B9" s="13" t="s">
        <v>7</v>
      </c>
      <c r="C9" s="13"/>
      <c r="D9" s="13"/>
      <c r="E9" s="13"/>
      <c r="F9" s="13"/>
      <c r="G9" s="13"/>
      <c r="H9" s="13"/>
      <c r="I9" s="16">
        <f>príjmy!M11</f>
        <v>166203</v>
      </c>
      <c r="J9" s="6"/>
    </row>
    <row r="10" spans="1:10" ht="90" customHeight="1">
      <c r="A10" s="1243" t="s">
        <v>8</v>
      </c>
      <c r="B10" s="1243"/>
      <c r="C10" s="1243"/>
      <c r="D10" s="1243"/>
      <c r="E10" s="1243"/>
      <c r="F10" s="1243"/>
      <c r="G10" s="1243"/>
      <c r="H10" s="1243"/>
      <c r="I10" s="17"/>
      <c r="J10" s="6"/>
    </row>
    <row r="11" spans="1:10" ht="12.75">
      <c r="A11" s="12" t="s">
        <v>9</v>
      </c>
      <c r="B11" s="13" t="s">
        <v>10</v>
      </c>
      <c r="C11" s="13"/>
      <c r="D11" s="13"/>
      <c r="E11" s="13"/>
      <c r="F11" s="13"/>
      <c r="G11" s="13"/>
      <c r="H11" s="13"/>
      <c r="I11" s="16">
        <f>príjmy!M22</f>
        <v>1250</v>
      </c>
      <c r="J11" s="6"/>
    </row>
    <row r="12" spans="1:10" ht="69.75" customHeight="1">
      <c r="A12" s="1243" t="s">
        <v>11</v>
      </c>
      <c r="B12" s="1243"/>
      <c r="C12" s="1243"/>
      <c r="D12" s="1243"/>
      <c r="E12" s="1243"/>
      <c r="F12" s="1243"/>
      <c r="G12" s="1243"/>
      <c r="H12" s="1243"/>
      <c r="I12" s="18"/>
      <c r="J12" s="6"/>
    </row>
    <row r="13" spans="1:10" ht="12.75">
      <c r="A13" s="12" t="s">
        <v>12</v>
      </c>
      <c r="B13" s="1245" t="s">
        <v>13</v>
      </c>
      <c r="C13" s="1245"/>
      <c r="D13" s="1245"/>
      <c r="E13" s="1245"/>
      <c r="F13" s="1245"/>
      <c r="G13" s="1245"/>
      <c r="H13" s="1245"/>
      <c r="I13" s="16">
        <f>príjmy!M19</f>
        <v>2750</v>
      </c>
      <c r="J13" s="6"/>
    </row>
    <row r="14" spans="1:10" ht="39.75" customHeight="1">
      <c r="A14" s="1246" t="s">
        <v>14</v>
      </c>
      <c r="B14" s="1246"/>
      <c r="C14" s="1246"/>
      <c r="D14" s="1246"/>
      <c r="E14" s="1246"/>
      <c r="F14" s="1246"/>
      <c r="G14" s="1246"/>
      <c r="H14" s="1246"/>
      <c r="I14" s="18"/>
      <c r="J14" s="6"/>
    </row>
    <row r="15" spans="1:10" ht="12.75">
      <c r="A15" s="12" t="s">
        <v>15</v>
      </c>
      <c r="B15" s="1245" t="s">
        <v>16</v>
      </c>
      <c r="C15" s="1245"/>
      <c r="D15" s="1245"/>
      <c r="E15" s="1245"/>
      <c r="F15" s="1245"/>
      <c r="G15" s="1245"/>
      <c r="H15" s="1245"/>
      <c r="I15" s="16">
        <f>príjmy!L21</f>
        <v>0</v>
      </c>
      <c r="J15" s="6"/>
    </row>
    <row r="16" spans="1:10" ht="24.75" customHeight="1">
      <c r="A16" s="1246" t="s">
        <v>17</v>
      </c>
      <c r="B16" s="1246"/>
      <c r="C16" s="1246"/>
      <c r="D16" s="1246"/>
      <c r="E16" s="1246"/>
      <c r="F16" s="1246"/>
      <c r="G16" s="1246"/>
      <c r="H16" s="1246"/>
      <c r="I16" s="18"/>
      <c r="J16" s="6"/>
    </row>
    <row r="17" spans="1:10" ht="12.75">
      <c r="A17" s="12" t="s">
        <v>18</v>
      </c>
      <c r="B17" s="1245" t="s">
        <v>19</v>
      </c>
      <c r="C17" s="1245"/>
      <c r="D17" s="1245"/>
      <c r="E17" s="1245"/>
      <c r="F17" s="1245"/>
      <c r="G17" s="1245"/>
      <c r="H17" s="1245"/>
      <c r="I17" s="16">
        <f>príjmy!M25</f>
        <v>26361</v>
      </c>
      <c r="J17" s="6"/>
    </row>
    <row r="18" spans="1:10" ht="79.5" customHeight="1">
      <c r="A18" s="1246" t="s">
        <v>20</v>
      </c>
      <c r="B18" s="1246"/>
      <c r="C18" s="1246"/>
      <c r="D18" s="1246"/>
      <c r="E18" s="1246"/>
      <c r="F18" s="1246"/>
      <c r="G18" s="1246"/>
      <c r="H18" s="1246"/>
      <c r="I18" s="18"/>
      <c r="J18" s="6"/>
    </row>
    <row r="19" spans="1:10" ht="12.75">
      <c r="A19" s="12" t="s">
        <v>21</v>
      </c>
      <c r="B19" s="13" t="s">
        <v>22</v>
      </c>
      <c r="C19" s="13"/>
      <c r="D19" s="13"/>
      <c r="E19" s="13"/>
      <c r="F19" s="13"/>
      <c r="G19" s="13"/>
      <c r="H19" s="13"/>
      <c r="I19" s="16">
        <f>príjmy!M23</f>
        <v>35000</v>
      </c>
      <c r="J19" s="6"/>
    </row>
    <row r="20" spans="1:10" ht="49.5" customHeight="1">
      <c r="A20" s="1246" t="s">
        <v>23</v>
      </c>
      <c r="B20" s="1246"/>
      <c r="C20" s="1246"/>
      <c r="D20" s="1246"/>
      <c r="E20" s="1246"/>
      <c r="F20" s="1246"/>
      <c r="G20" s="1246"/>
      <c r="H20" s="1246"/>
      <c r="I20" s="18"/>
      <c r="J20" s="6"/>
    </row>
    <row r="21" spans="1:10" ht="15">
      <c r="A21" s="19"/>
      <c r="B21" s="20"/>
      <c r="C21" s="20"/>
      <c r="D21" s="20"/>
      <c r="E21" s="20"/>
      <c r="F21" s="20"/>
      <c r="G21" s="20"/>
      <c r="H21" s="20"/>
      <c r="I21" s="21"/>
      <c r="J21" s="6"/>
    </row>
    <row r="22" spans="1:10" ht="15">
      <c r="A22" s="19"/>
      <c r="B22" s="20"/>
      <c r="C22" s="20"/>
      <c r="D22" s="20"/>
      <c r="E22" s="20"/>
      <c r="F22" s="20"/>
      <c r="G22" s="20"/>
      <c r="H22" s="20"/>
      <c r="I22" s="21"/>
      <c r="J22" s="6"/>
    </row>
    <row r="23" spans="1:10" ht="15">
      <c r="A23" s="19"/>
      <c r="B23" s="20"/>
      <c r="C23" s="20"/>
      <c r="D23" s="20"/>
      <c r="E23" s="20"/>
      <c r="F23" s="20"/>
      <c r="G23" s="20"/>
      <c r="H23" s="20"/>
      <c r="I23" s="21"/>
      <c r="J23" s="6"/>
    </row>
    <row r="24" spans="1:10" ht="15">
      <c r="A24" s="19"/>
      <c r="B24" s="20"/>
      <c r="C24" s="20"/>
      <c r="D24" s="20"/>
      <c r="E24" s="20"/>
      <c r="F24" s="20"/>
      <c r="G24" s="20"/>
      <c r="H24" s="20"/>
      <c r="I24" s="21"/>
      <c r="J24" s="6"/>
    </row>
    <row r="25" spans="1:10" ht="15">
      <c r="A25" s="19"/>
      <c r="B25" s="20"/>
      <c r="C25" s="20"/>
      <c r="D25" s="20"/>
      <c r="E25" s="20"/>
      <c r="F25" s="20"/>
      <c r="G25" s="20"/>
      <c r="H25" s="20"/>
      <c r="I25" s="21"/>
      <c r="J25" s="6"/>
    </row>
    <row r="26" spans="1:10" ht="15">
      <c r="A26" s="19"/>
      <c r="B26" s="20"/>
      <c r="C26" s="20"/>
      <c r="D26" s="20"/>
      <c r="E26" s="20"/>
      <c r="F26" s="20"/>
      <c r="G26" s="20"/>
      <c r="H26" s="20"/>
      <c r="I26" s="21"/>
      <c r="J26" s="6"/>
    </row>
    <row r="27" spans="1:10" ht="15">
      <c r="A27" s="19"/>
      <c r="B27" s="20"/>
      <c r="C27" s="20"/>
      <c r="D27" s="20"/>
      <c r="E27" s="20"/>
      <c r="F27" s="20"/>
      <c r="G27" s="20"/>
      <c r="H27" s="20"/>
      <c r="I27" s="21"/>
      <c r="J27" s="6"/>
    </row>
    <row r="28" spans="1:10" ht="15">
      <c r="A28" s="19"/>
      <c r="B28" s="20"/>
      <c r="C28" s="20"/>
      <c r="D28" s="20"/>
      <c r="E28" s="20"/>
      <c r="F28" s="20"/>
      <c r="G28" s="20"/>
      <c r="H28" s="20"/>
      <c r="I28" s="21"/>
      <c r="J28" s="6"/>
    </row>
    <row r="29" spans="1:10" ht="15">
      <c r="A29" s="19"/>
      <c r="B29" s="20"/>
      <c r="C29" s="20"/>
      <c r="D29" s="20"/>
      <c r="E29" s="20"/>
      <c r="F29" s="20"/>
      <c r="G29" s="20"/>
      <c r="H29" s="20"/>
      <c r="I29" s="21"/>
      <c r="J29" s="6"/>
    </row>
    <row r="30" spans="1:10" ht="15" hidden="1">
      <c r="A30" s="19"/>
      <c r="B30" s="20"/>
      <c r="C30" s="20"/>
      <c r="D30" s="20"/>
      <c r="E30" s="20"/>
      <c r="F30" s="20"/>
      <c r="G30" s="20"/>
      <c r="H30" s="20"/>
      <c r="I30" s="21"/>
      <c r="J30" s="6"/>
    </row>
    <row r="31" spans="1:10" ht="15">
      <c r="A31" s="19"/>
      <c r="B31" s="20"/>
      <c r="C31" s="20"/>
      <c r="D31" s="20"/>
      <c r="E31" s="20"/>
      <c r="F31" s="20"/>
      <c r="G31" s="20"/>
      <c r="H31" s="20"/>
      <c r="I31" s="21"/>
      <c r="J31" s="6"/>
    </row>
    <row r="32" spans="1:10" ht="15.75">
      <c r="A32" s="1237" t="s">
        <v>24</v>
      </c>
      <c r="B32" s="1237"/>
      <c r="C32" s="1237"/>
      <c r="D32" s="1237"/>
      <c r="E32" s="1237"/>
      <c r="F32" s="1237"/>
      <c r="G32" s="1237"/>
      <c r="H32" s="1237"/>
      <c r="I32" s="22">
        <f>I34+I36+I38+I40+I42+I44+I46+I48+I50+I52+I54</f>
        <v>116862</v>
      </c>
      <c r="J32" s="6"/>
    </row>
    <row r="33" spans="1:10" ht="15">
      <c r="A33" s="19"/>
      <c r="B33" s="20"/>
      <c r="C33" s="20"/>
      <c r="D33" s="20"/>
      <c r="E33" s="20"/>
      <c r="F33" s="20"/>
      <c r="G33" s="20"/>
      <c r="H33" s="20"/>
      <c r="I33" s="23"/>
      <c r="J33" s="6"/>
    </row>
    <row r="34" spans="1:10" ht="12.75">
      <c r="A34" s="12" t="s">
        <v>25</v>
      </c>
      <c r="B34" s="1245" t="s">
        <v>26</v>
      </c>
      <c r="C34" s="1245"/>
      <c r="D34" s="1245"/>
      <c r="E34" s="1245"/>
      <c r="F34" s="1245"/>
      <c r="G34" s="1245"/>
      <c r="H34" s="1245"/>
      <c r="I34" s="16">
        <f>príjmy!M34</f>
        <v>8000</v>
      </c>
      <c r="J34" s="6"/>
    </row>
    <row r="35" spans="1:10" ht="15" customHeight="1">
      <c r="A35" s="1242" t="s">
        <v>27</v>
      </c>
      <c r="B35" s="1242"/>
      <c r="C35" s="1242"/>
      <c r="D35" s="1242"/>
      <c r="E35" s="1242"/>
      <c r="F35" s="1242"/>
      <c r="G35" s="1242"/>
      <c r="H35" s="1242"/>
      <c r="I35" s="24"/>
      <c r="J35" s="6"/>
    </row>
    <row r="36" spans="1:10" ht="12.75">
      <c r="A36" s="12" t="s">
        <v>28</v>
      </c>
      <c r="B36" s="1245" t="s">
        <v>29</v>
      </c>
      <c r="C36" s="1245"/>
      <c r="D36" s="1245"/>
      <c r="E36" s="1245"/>
      <c r="F36" s="1245"/>
      <c r="G36" s="1245"/>
      <c r="H36" s="1245"/>
      <c r="I36" s="16">
        <f>príjmy!M35</f>
        <v>23000</v>
      </c>
      <c r="J36" s="6"/>
    </row>
    <row r="37" spans="1:10" ht="15" customHeight="1">
      <c r="A37" s="1242" t="s">
        <v>30</v>
      </c>
      <c r="B37" s="1242"/>
      <c r="C37" s="1242"/>
      <c r="D37" s="1242"/>
      <c r="E37" s="1242"/>
      <c r="F37" s="1242"/>
      <c r="G37" s="1242"/>
      <c r="H37" s="1242"/>
      <c r="I37" s="24"/>
      <c r="J37" s="6"/>
    </row>
    <row r="38" spans="1:10" ht="12.75">
      <c r="A38" s="12" t="s">
        <v>31</v>
      </c>
      <c r="B38" s="1245" t="s">
        <v>32</v>
      </c>
      <c r="C38" s="1245"/>
      <c r="D38" s="1245"/>
      <c r="E38" s="1245"/>
      <c r="F38" s="1245"/>
      <c r="G38" s="1245"/>
      <c r="H38" s="1245"/>
      <c r="I38" s="16">
        <f>príjmy!M36</f>
        <v>11500</v>
      </c>
      <c r="J38" s="6"/>
    </row>
    <row r="39" spans="1:10" ht="15" customHeight="1">
      <c r="A39" s="1242" t="s">
        <v>33</v>
      </c>
      <c r="B39" s="1242"/>
      <c r="C39" s="1242"/>
      <c r="D39" s="1242"/>
      <c r="E39" s="1242"/>
      <c r="F39" s="1242"/>
      <c r="G39" s="1242"/>
      <c r="H39" s="1242"/>
      <c r="I39" s="24"/>
      <c r="J39" s="6"/>
    </row>
    <row r="40" spans="1:10" ht="12.75">
      <c r="A40" s="12" t="s">
        <v>34</v>
      </c>
      <c r="B40" s="1245" t="s">
        <v>35</v>
      </c>
      <c r="C40" s="1245"/>
      <c r="D40" s="1245"/>
      <c r="E40" s="1245"/>
      <c r="F40" s="1245"/>
      <c r="G40" s="1245"/>
      <c r="H40" s="1245"/>
      <c r="I40" s="16">
        <f>príjmy!M40</f>
        <v>20000</v>
      </c>
      <c r="J40" s="6"/>
    </row>
    <row r="41" spans="1:10" ht="64.5" customHeight="1">
      <c r="A41" s="1243" t="s">
        <v>36</v>
      </c>
      <c r="B41" s="1243"/>
      <c r="C41" s="1243"/>
      <c r="D41" s="1243"/>
      <c r="E41" s="1243"/>
      <c r="F41" s="1243"/>
      <c r="G41" s="1243"/>
      <c r="H41" s="1243"/>
      <c r="I41" s="24"/>
      <c r="J41" s="6"/>
    </row>
    <row r="42" spans="1:10" ht="12.75">
      <c r="A42" s="12" t="s">
        <v>37</v>
      </c>
      <c r="B42" s="1245" t="s">
        <v>38</v>
      </c>
      <c r="C42" s="1245"/>
      <c r="D42" s="1245"/>
      <c r="E42" s="1245"/>
      <c r="F42" s="1245"/>
      <c r="G42" s="1245"/>
      <c r="H42" s="1245"/>
      <c r="I42" s="16">
        <f>príjmy!M41</f>
        <v>2300</v>
      </c>
      <c r="J42" s="6"/>
    </row>
    <row r="43" spans="1:10" ht="24.75" customHeight="1">
      <c r="A43" s="1246" t="s">
        <v>39</v>
      </c>
      <c r="B43" s="1246"/>
      <c r="C43" s="1246"/>
      <c r="D43" s="1246"/>
      <c r="E43" s="1246"/>
      <c r="F43" s="1246"/>
      <c r="G43" s="1246"/>
      <c r="H43" s="1246"/>
      <c r="I43" s="25"/>
      <c r="J43" s="6"/>
    </row>
    <row r="44" spans="1:10" ht="12.75">
      <c r="A44" s="12" t="s">
        <v>40</v>
      </c>
      <c r="B44" s="1241" t="s">
        <v>32</v>
      </c>
      <c r="C44" s="1241"/>
      <c r="D44" s="1241"/>
      <c r="E44" s="1241"/>
      <c r="F44" s="1241"/>
      <c r="G44" s="1241"/>
      <c r="H44" s="1241"/>
      <c r="I44" s="26">
        <f>príjmy!M43</f>
        <v>5500</v>
      </c>
      <c r="J44" s="6"/>
    </row>
    <row r="45" spans="1:10" ht="15">
      <c r="A45" s="1242" t="s">
        <v>41</v>
      </c>
      <c r="B45" s="1242"/>
      <c r="C45" s="1242"/>
      <c r="D45" s="1242"/>
      <c r="E45" s="1242"/>
      <c r="F45" s="1242"/>
      <c r="G45" s="1242"/>
      <c r="H45" s="1242"/>
      <c r="I45" s="27"/>
      <c r="J45" s="6"/>
    </row>
    <row r="46" spans="1:10" ht="12.75">
      <c r="A46" s="12" t="s">
        <v>42</v>
      </c>
      <c r="B46" s="1241" t="s">
        <v>43</v>
      </c>
      <c r="C46" s="1241"/>
      <c r="D46" s="1241"/>
      <c r="E46" s="1241"/>
      <c r="F46" s="1241"/>
      <c r="G46" s="1241"/>
      <c r="H46" s="1241"/>
      <c r="I46" s="26">
        <f>príjmy!M42</f>
        <v>700</v>
      </c>
      <c r="J46" s="6"/>
    </row>
    <row r="47" spans="1:10" ht="15">
      <c r="A47" s="1242" t="s">
        <v>44</v>
      </c>
      <c r="B47" s="1242"/>
      <c r="C47" s="1242"/>
      <c r="D47" s="1242"/>
      <c r="E47" s="1242"/>
      <c r="F47" s="1242"/>
      <c r="G47" s="1242"/>
      <c r="H47" s="1242"/>
      <c r="I47" s="27"/>
      <c r="J47" s="6"/>
    </row>
    <row r="48" spans="1:10" ht="12.75">
      <c r="A48" s="12" t="s">
        <v>45</v>
      </c>
      <c r="B48" s="1241" t="s">
        <v>46</v>
      </c>
      <c r="C48" s="1241"/>
      <c r="D48" s="1241"/>
      <c r="E48" s="1241"/>
      <c r="F48" s="1241"/>
      <c r="G48" s="1241"/>
      <c r="H48" s="1241"/>
      <c r="I48" s="26">
        <f>príjmy!M52+príjmy!M53</f>
        <v>150</v>
      </c>
      <c r="J48" s="6"/>
    </row>
    <row r="49" spans="1:10" ht="15">
      <c r="A49" s="28"/>
      <c r="B49" s="1244"/>
      <c r="C49" s="1244"/>
      <c r="D49" s="1244"/>
      <c r="E49" s="1244"/>
      <c r="F49" s="1244"/>
      <c r="G49" s="1244"/>
      <c r="H49" s="1244"/>
      <c r="I49" s="27"/>
      <c r="J49" s="6"/>
    </row>
    <row r="50" spans="1:10" ht="12.75">
      <c r="A50" s="12" t="s">
        <v>47</v>
      </c>
      <c r="B50" s="1241" t="s">
        <v>48</v>
      </c>
      <c r="C50" s="1241"/>
      <c r="D50" s="1241"/>
      <c r="E50" s="1241"/>
      <c r="F50" s="1241"/>
      <c r="G50" s="1241"/>
      <c r="H50" s="1241"/>
      <c r="I50" s="26">
        <f>príjmy!M45+príjmy!M46+príjmy!M48</f>
        <v>39000</v>
      </c>
      <c r="J50" s="6"/>
    </row>
    <row r="51" spans="1:10" ht="24.75" customHeight="1">
      <c r="A51" s="1243" t="s">
        <v>49</v>
      </c>
      <c r="B51" s="1243"/>
      <c r="C51" s="1243"/>
      <c r="D51" s="1243"/>
      <c r="E51" s="1243"/>
      <c r="F51" s="1243"/>
      <c r="G51" s="1243"/>
      <c r="H51" s="1243"/>
      <c r="I51" s="27"/>
      <c r="J51" s="6"/>
    </row>
    <row r="52" spans="1:10" ht="12.75">
      <c r="A52" s="12" t="s">
        <v>50</v>
      </c>
      <c r="B52" s="1241" t="s">
        <v>51</v>
      </c>
      <c r="C52" s="1241"/>
      <c r="D52" s="1241"/>
      <c r="E52" s="1241"/>
      <c r="F52" s="1241"/>
      <c r="G52" s="1241"/>
      <c r="H52" s="1241"/>
      <c r="I52" s="26">
        <f>príjmy!M47</f>
        <v>6000</v>
      </c>
      <c r="J52" s="6"/>
    </row>
    <row r="53" spans="1:10" ht="15">
      <c r="A53" s="1242" t="s">
        <v>52</v>
      </c>
      <c r="B53" s="1242"/>
      <c r="C53" s="1242"/>
      <c r="D53" s="1242"/>
      <c r="E53" s="1242"/>
      <c r="F53" s="1242"/>
      <c r="G53" s="1242"/>
      <c r="H53" s="1242"/>
      <c r="I53" s="27"/>
      <c r="J53" s="6"/>
    </row>
    <row r="54" spans="1:10" ht="12.75">
      <c r="A54" s="12" t="s">
        <v>53</v>
      </c>
      <c r="B54" s="1241" t="s">
        <v>54</v>
      </c>
      <c r="C54" s="1241"/>
      <c r="D54" s="1241"/>
      <c r="E54" s="1241"/>
      <c r="F54" s="1241"/>
      <c r="G54" s="1241"/>
      <c r="H54" s="1241"/>
      <c r="I54" s="26">
        <f>príjmy!M33+príjmy!M55+príjmy!M56+príjmy!M57+príjmy!M49</f>
        <v>712</v>
      </c>
      <c r="J54" s="6"/>
    </row>
    <row r="55" spans="1:10" ht="24.75" customHeight="1">
      <c r="A55" s="1243" t="s">
        <v>55</v>
      </c>
      <c r="B55" s="1243"/>
      <c r="C55" s="1243"/>
      <c r="D55" s="1243"/>
      <c r="E55" s="1243"/>
      <c r="F55" s="1243"/>
      <c r="G55" s="1243"/>
      <c r="H55" s="1243"/>
      <c r="I55" s="27"/>
      <c r="J55" s="6"/>
    </row>
    <row r="56" spans="1:10" ht="15">
      <c r="A56" s="19"/>
      <c r="B56" s="8"/>
      <c r="C56" s="8"/>
      <c r="D56" s="8"/>
      <c r="E56" s="8"/>
      <c r="F56" s="8"/>
      <c r="G56" s="8"/>
      <c r="H56" s="8"/>
      <c r="I56" s="29"/>
      <c r="J56" s="6"/>
    </row>
    <row r="57" spans="1:10" ht="15.75">
      <c r="A57" s="1237" t="s">
        <v>56</v>
      </c>
      <c r="B57" s="1237"/>
      <c r="C57" s="1237"/>
      <c r="D57" s="1237"/>
      <c r="E57" s="1237"/>
      <c r="F57" s="1237"/>
      <c r="G57" s="1237"/>
      <c r="H57" s="1237"/>
      <c r="I57" s="22">
        <f>I61+I62+I63+I64+I65+I66+I67+I68+I69+I70+I71+I72+I73+I74+I76+I75</f>
        <v>665897</v>
      </c>
      <c r="J57" s="6"/>
    </row>
    <row r="58" spans="1:10" ht="15">
      <c r="A58" s="19"/>
      <c r="B58" s="8"/>
      <c r="C58" s="8"/>
      <c r="D58" s="8"/>
      <c r="E58" s="8"/>
      <c r="F58" s="8"/>
      <c r="G58" s="8"/>
      <c r="H58" s="8"/>
      <c r="I58" s="29"/>
      <c r="J58" s="6"/>
    </row>
    <row r="59" spans="1:18" ht="24.75" customHeight="1">
      <c r="A59" s="1240" t="s">
        <v>57</v>
      </c>
      <c r="B59" s="1240"/>
      <c r="C59" s="1240"/>
      <c r="D59" s="1240"/>
      <c r="E59" s="1240"/>
      <c r="F59" s="1240"/>
      <c r="G59" s="1240"/>
      <c r="H59" s="1240"/>
      <c r="I59" s="1240"/>
      <c r="J59" s="1240"/>
      <c r="K59" s="1240"/>
      <c r="L59" s="1240"/>
      <c r="M59" s="1240"/>
      <c r="N59" s="1240"/>
      <c r="O59" s="1240"/>
      <c r="P59" s="1240"/>
      <c r="Q59" s="1240"/>
      <c r="R59" s="1240"/>
    </row>
    <row r="60" spans="1:10" ht="15">
      <c r="A60" s="19"/>
      <c r="B60" s="8"/>
      <c r="C60" s="8"/>
      <c r="D60" s="8"/>
      <c r="E60" s="8"/>
      <c r="F60" s="8"/>
      <c r="G60" s="8"/>
      <c r="H60" s="8"/>
      <c r="I60" s="30"/>
      <c r="J60" s="4"/>
    </row>
    <row r="61" spans="1:10" ht="12.75">
      <c r="A61" s="31" t="s">
        <v>58</v>
      </c>
      <c r="B61" s="32" t="s">
        <v>59</v>
      </c>
      <c r="C61" s="32"/>
      <c r="D61" s="32"/>
      <c r="E61" s="32"/>
      <c r="F61" s="32"/>
      <c r="G61" s="32"/>
      <c r="H61" s="32"/>
      <c r="I61" s="33">
        <f>príjmy!M66</f>
        <v>494935</v>
      </c>
      <c r="J61" s="6"/>
    </row>
    <row r="62" spans="1:10" ht="12.75">
      <c r="A62" s="31" t="s">
        <v>60</v>
      </c>
      <c r="B62" s="32" t="s">
        <v>61</v>
      </c>
      <c r="C62" s="32"/>
      <c r="D62" s="32"/>
      <c r="E62" s="32"/>
      <c r="F62" s="32"/>
      <c r="G62" s="32"/>
      <c r="H62" s="32"/>
      <c r="I62" s="34">
        <f>SUM(príjmy!M67)</f>
        <v>0</v>
      </c>
      <c r="J62" s="6"/>
    </row>
    <row r="63" spans="1:10" ht="12.75">
      <c r="A63" s="35" t="s">
        <v>62</v>
      </c>
      <c r="B63" s="36" t="s">
        <v>63</v>
      </c>
      <c r="C63" s="36"/>
      <c r="D63" s="36"/>
      <c r="E63" s="36"/>
      <c r="F63" s="36"/>
      <c r="G63" s="36"/>
      <c r="H63" s="36"/>
      <c r="I63" s="33">
        <f>príjmy!M68</f>
        <v>4720</v>
      </c>
      <c r="J63" s="6"/>
    </row>
    <row r="64" spans="1:10" ht="12.75">
      <c r="A64" s="37" t="s">
        <v>64</v>
      </c>
      <c r="B64" s="38" t="s">
        <v>65</v>
      </c>
      <c r="C64" s="38"/>
      <c r="D64" s="38"/>
      <c r="E64" s="38"/>
      <c r="F64" s="38"/>
      <c r="G64" s="38"/>
      <c r="H64" s="38"/>
      <c r="I64" s="34">
        <f>príjmy!M69</f>
        <v>4850</v>
      </c>
      <c r="J64" s="6"/>
    </row>
    <row r="65" spans="1:10" ht="12.75">
      <c r="A65" s="35" t="s">
        <v>66</v>
      </c>
      <c r="B65" s="36" t="s">
        <v>67</v>
      </c>
      <c r="C65" s="36"/>
      <c r="D65" s="36"/>
      <c r="E65" s="36"/>
      <c r="F65" s="36"/>
      <c r="G65" s="36"/>
      <c r="H65" s="36"/>
      <c r="I65" s="33">
        <f>príjmy!M70</f>
        <v>7740</v>
      </c>
      <c r="J65" s="6"/>
    </row>
    <row r="66" spans="1:10" ht="12.75">
      <c r="A66" s="35" t="s">
        <v>68</v>
      </c>
      <c r="B66" s="36" t="s">
        <v>69</v>
      </c>
      <c r="C66" s="36"/>
      <c r="D66" s="36"/>
      <c r="E66" s="36"/>
      <c r="F66" s="36"/>
      <c r="G66" s="36"/>
      <c r="H66" s="36"/>
      <c r="I66" s="33">
        <f>príjmy!M71</f>
        <v>11890</v>
      </c>
      <c r="J66" s="6"/>
    </row>
    <row r="67" spans="1:10" ht="12.75">
      <c r="A67" s="35" t="s">
        <v>70</v>
      </c>
      <c r="B67" s="36" t="s">
        <v>71</v>
      </c>
      <c r="C67" s="36"/>
      <c r="D67" s="36"/>
      <c r="E67" s="36"/>
      <c r="F67" s="36"/>
      <c r="G67" s="36"/>
      <c r="H67" s="36"/>
      <c r="I67" s="33">
        <f>príjmy!M73</f>
        <v>3488</v>
      </c>
      <c r="J67" s="6"/>
    </row>
    <row r="68" spans="1:10" ht="12.75">
      <c r="A68" s="35" t="s">
        <v>72</v>
      </c>
      <c r="B68" s="36" t="s">
        <v>73</v>
      </c>
      <c r="C68" s="36"/>
      <c r="D68" s="36"/>
      <c r="E68" s="36"/>
      <c r="F68" s="36"/>
      <c r="G68" s="36"/>
      <c r="H68" s="36"/>
      <c r="I68" s="33">
        <f>príjmy!M74</f>
        <v>8403</v>
      </c>
      <c r="J68" s="6"/>
    </row>
    <row r="69" spans="1:10" ht="12.75">
      <c r="A69" s="35" t="s">
        <v>74</v>
      </c>
      <c r="B69" s="36" t="s">
        <v>75</v>
      </c>
      <c r="C69" s="36"/>
      <c r="D69" s="36"/>
      <c r="E69" s="36"/>
      <c r="F69" s="36"/>
      <c r="G69" s="36"/>
      <c r="H69" s="36"/>
      <c r="I69" s="33">
        <f>príjmy!M81</f>
        <v>2623</v>
      </c>
      <c r="J69" s="6"/>
    </row>
    <row r="70" spans="1:10" ht="12.75">
      <c r="A70" s="35" t="s">
        <v>76</v>
      </c>
      <c r="B70" s="36" t="s">
        <v>77</v>
      </c>
      <c r="C70" s="36"/>
      <c r="D70" s="36"/>
      <c r="E70" s="36"/>
      <c r="F70" s="36"/>
      <c r="G70" s="36"/>
      <c r="H70" s="36"/>
      <c r="I70" s="33">
        <f>príjmy!M75+príjmy!M76+príjmy!M77+príjmy!M78</f>
        <v>9077</v>
      </c>
      <c r="J70" s="6"/>
    </row>
    <row r="71" spans="1:10" ht="12.75">
      <c r="A71" s="35" t="s">
        <v>78</v>
      </c>
      <c r="B71" s="36" t="s">
        <v>79</v>
      </c>
      <c r="C71" s="36"/>
      <c r="D71" s="36"/>
      <c r="E71" s="36"/>
      <c r="F71" s="36"/>
      <c r="G71" s="36"/>
      <c r="H71" s="36"/>
      <c r="I71" s="33">
        <f>príjmy!M80</f>
        <v>13620</v>
      </c>
      <c r="J71" s="6"/>
    </row>
    <row r="72" spans="1:10" ht="12.75">
      <c r="A72" s="35" t="s">
        <v>80</v>
      </c>
      <c r="B72" s="36" t="s">
        <v>81</v>
      </c>
      <c r="C72" s="36"/>
      <c r="D72" s="36"/>
      <c r="E72" s="36"/>
      <c r="F72" s="36"/>
      <c r="G72" s="36"/>
      <c r="H72" s="36"/>
      <c r="I72" s="33">
        <f>príjmy!M86</f>
        <v>5706</v>
      </c>
      <c r="J72" s="6"/>
    </row>
    <row r="73" spans="1:10" ht="12.75">
      <c r="A73" s="35" t="s">
        <v>82</v>
      </c>
      <c r="B73" s="36" t="s">
        <v>83</v>
      </c>
      <c r="C73" s="36"/>
      <c r="D73" s="36"/>
      <c r="E73" s="36"/>
      <c r="F73" s="36"/>
      <c r="G73" s="36"/>
      <c r="H73" s="36"/>
      <c r="I73" s="33">
        <f>príjmy!M82</f>
        <v>15845</v>
      </c>
      <c r="J73" s="6"/>
    </row>
    <row r="74" spans="1:10" ht="12.75">
      <c r="A74" s="35" t="s">
        <v>84</v>
      </c>
      <c r="B74" s="36" t="s">
        <v>85</v>
      </c>
      <c r="C74" s="36"/>
      <c r="D74" s="36"/>
      <c r="E74" s="36"/>
      <c r="F74" s="36"/>
      <c r="G74" s="36"/>
      <c r="H74" s="36"/>
      <c r="I74" s="34">
        <f>príjmy!M83</f>
        <v>55500</v>
      </c>
      <c r="J74" s="6"/>
    </row>
    <row r="75" spans="1:10" ht="15">
      <c r="A75" s="35" t="s">
        <v>80</v>
      </c>
      <c r="B75" s="32" t="s">
        <v>86</v>
      </c>
      <c r="C75" s="39"/>
      <c r="D75" s="39"/>
      <c r="E75" s="39"/>
      <c r="F75" s="39"/>
      <c r="G75" s="39"/>
      <c r="H75" s="39"/>
      <c r="I75" s="40">
        <f>príjmy!M84</f>
        <v>8700</v>
      </c>
      <c r="J75" s="6"/>
    </row>
    <row r="76" spans="1:10" ht="15">
      <c r="A76" s="35" t="s">
        <v>87</v>
      </c>
      <c r="B76" s="36" t="s">
        <v>88</v>
      </c>
      <c r="C76" s="41"/>
      <c r="D76" s="41"/>
      <c r="E76" s="41"/>
      <c r="F76" s="41"/>
      <c r="G76" s="41"/>
      <c r="H76" s="41"/>
      <c r="I76" s="33">
        <f>SUM(príjmy!M85)</f>
        <v>18800</v>
      </c>
      <c r="J76" s="6"/>
    </row>
    <row r="77" spans="1:10" ht="15">
      <c r="A77" s="7"/>
      <c r="B77" s="8"/>
      <c r="C77" s="8"/>
      <c r="D77" s="8"/>
      <c r="E77" s="8"/>
      <c r="F77" s="8"/>
      <c r="G77" s="8"/>
      <c r="H77" s="8"/>
      <c r="I77" s="30"/>
      <c r="J77" s="4"/>
    </row>
    <row r="78" spans="1:10" ht="15.75">
      <c r="A78" s="1238" t="s">
        <v>89</v>
      </c>
      <c r="B78" s="1238"/>
      <c r="C78" s="1238"/>
      <c r="D78" s="1238"/>
      <c r="E78" s="1238"/>
      <c r="F78" s="1238"/>
      <c r="G78" s="1238"/>
      <c r="H78" s="1238"/>
      <c r="I78" s="5">
        <f>SUM(I80,I85)</f>
        <v>282356</v>
      </c>
      <c r="J78" s="6"/>
    </row>
    <row r="79" spans="1:10" ht="15">
      <c r="A79" s="7"/>
      <c r="B79" s="8"/>
      <c r="C79" s="8"/>
      <c r="D79" s="8"/>
      <c r="E79" s="8"/>
      <c r="F79" s="8"/>
      <c r="G79" s="8"/>
      <c r="H79" s="8"/>
      <c r="I79" s="42"/>
      <c r="J79" s="6"/>
    </row>
    <row r="80" spans="1:10" ht="15.75">
      <c r="A80" s="1237" t="s">
        <v>90</v>
      </c>
      <c r="B80" s="1237"/>
      <c r="C80" s="1237"/>
      <c r="D80" s="1237"/>
      <c r="E80" s="1237"/>
      <c r="F80" s="1237"/>
      <c r="G80" s="1237"/>
      <c r="H80" s="1237"/>
      <c r="I80" s="22">
        <f>I82</f>
        <v>1351</v>
      </c>
      <c r="J80" s="6"/>
    </row>
    <row r="81" spans="9:10" ht="12.75">
      <c r="I81" s="23"/>
      <c r="J81" s="6"/>
    </row>
    <row r="82" spans="1:10" ht="12.75">
      <c r="A82" s="35" t="s">
        <v>3</v>
      </c>
      <c r="B82" s="36" t="s">
        <v>91</v>
      </c>
      <c r="C82" s="36"/>
      <c r="D82" s="36"/>
      <c r="E82" s="36"/>
      <c r="F82" s="36"/>
      <c r="G82" s="36"/>
      <c r="H82" s="36"/>
      <c r="I82" s="33">
        <f>príjmy!M105</f>
        <v>1351</v>
      </c>
      <c r="J82" s="6"/>
    </row>
    <row r="83" spans="1:10" ht="12.75">
      <c r="A83" s="43"/>
      <c r="B83" s="44"/>
      <c r="C83" s="44"/>
      <c r="D83" s="44"/>
      <c r="E83" s="44"/>
      <c r="F83" s="44"/>
      <c r="G83" s="44"/>
      <c r="H83" s="44"/>
      <c r="I83" s="45"/>
      <c r="J83" s="6"/>
    </row>
    <row r="84" spans="1:10" ht="12.75">
      <c r="A84" s="43"/>
      <c r="B84" s="44"/>
      <c r="C84" s="44"/>
      <c r="D84" s="44"/>
      <c r="E84" s="44"/>
      <c r="F84" s="44"/>
      <c r="G84" s="44"/>
      <c r="H84" s="44"/>
      <c r="I84" s="45"/>
      <c r="J84" s="6"/>
    </row>
    <row r="85" spans="1:10" ht="15">
      <c r="A85" s="1237" t="s">
        <v>92</v>
      </c>
      <c r="B85" s="1237"/>
      <c r="C85" s="1237"/>
      <c r="D85" s="1237"/>
      <c r="E85" s="1237"/>
      <c r="F85" s="1237"/>
      <c r="G85" s="1237"/>
      <c r="H85" s="1237"/>
      <c r="I85" s="46">
        <f>SUM(I87,I88,I89,I90,I91,I92,I93,I94)</f>
        <v>281005</v>
      </c>
      <c r="J85" s="6"/>
    </row>
    <row r="86" spans="1:10" ht="12.75">
      <c r="A86" s="43"/>
      <c r="B86" s="44"/>
      <c r="C86" s="44"/>
      <c r="D86" s="44"/>
      <c r="E86" s="44"/>
      <c r="F86" s="44"/>
      <c r="G86" s="44"/>
      <c r="H86" s="44"/>
      <c r="I86" s="45"/>
      <c r="J86" s="6"/>
    </row>
    <row r="87" spans="1:10" ht="12.75">
      <c r="A87" s="35" t="s">
        <v>25</v>
      </c>
      <c r="B87" s="36" t="s">
        <v>93</v>
      </c>
      <c r="C87" s="36"/>
      <c r="D87" s="36"/>
      <c r="E87" s="36"/>
      <c r="F87" s="36"/>
      <c r="G87" s="36"/>
      <c r="H87" s="36"/>
      <c r="I87" s="33">
        <f>príjmy!L111</f>
        <v>0</v>
      </c>
      <c r="J87" s="6"/>
    </row>
    <row r="88" spans="1:10" ht="12.75">
      <c r="A88" s="35" t="s">
        <v>28</v>
      </c>
      <c r="B88" s="36" t="s">
        <v>94</v>
      </c>
      <c r="C88" s="36"/>
      <c r="D88" s="36"/>
      <c r="E88" s="36"/>
      <c r="F88" s="36"/>
      <c r="G88" s="36"/>
      <c r="H88" s="36"/>
      <c r="I88" s="33">
        <f>príjmy!L112</f>
        <v>0</v>
      </c>
      <c r="J88" s="6"/>
    </row>
    <row r="89" spans="1:10" ht="12.75">
      <c r="A89" s="35" t="s">
        <v>31</v>
      </c>
      <c r="B89" s="36" t="s">
        <v>95</v>
      </c>
      <c r="C89" s="36"/>
      <c r="D89" s="36"/>
      <c r="E89" s="36"/>
      <c r="F89" s="36"/>
      <c r="G89" s="36"/>
      <c r="H89" s="36"/>
      <c r="I89" s="33">
        <f>príjmy!M113</f>
        <v>31005</v>
      </c>
      <c r="J89" s="6"/>
    </row>
    <row r="90" spans="1:10" ht="12.75">
      <c r="A90" s="35" t="s">
        <v>34</v>
      </c>
      <c r="B90" s="36" t="s">
        <v>96</v>
      </c>
      <c r="C90" s="36"/>
      <c r="D90" s="36"/>
      <c r="E90" s="36"/>
      <c r="F90" s="36"/>
      <c r="G90" s="36"/>
      <c r="H90" s="36"/>
      <c r="I90" s="33">
        <f>príjmy!M117</f>
        <v>0</v>
      </c>
      <c r="J90" s="6"/>
    </row>
    <row r="91" spans="1:10" ht="12.75">
      <c r="A91" s="35" t="s">
        <v>37</v>
      </c>
      <c r="B91" s="36" t="s">
        <v>97</v>
      </c>
      <c r="C91" s="36"/>
      <c r="D91" s="36"/>
      <c r="E91" s="36"/>
      <c r="F91" s="36"/>
      <c r="G91" s="36"/>
      <c r="H91" s="36"/>
      <c r="I91" s="33">
        <f>príjmy!M115</f>
        <v>0</v>
      </c>
      <c r="J91" s="6"/>
    </row>
    <row r="92" spans="1:10" ht="12.75">
      <c r="A92" s="35" t="s">
        <v>40</v>
      </c>
      <c r="B92" s="36" t="s">
        <v>98</v>
      </c>
      <c r="C92" s="36"/>
      <c r="D92" s="36"/>
      <c r="E92" s="36"/>
      <c r="F92" s="36"/>
      <c r="G92" s="36"/>
      <c r="H92" s="36"/>
      <c r="I92" s="33">
        <f>príjmy!M118</f>
        <v>250000</v>
      </c>
      <c r="J92" s="6"/>
    </row>
    <row r="93" spans="1:10" ht="12.75">
      <c r="A93" s="31" t="s">
        <v>42</v>
      </c>
      <c r="B93" s="32" t="s">
        <v>99</v>
      </c>
      <c r="C93" s="32"/>
      <c r="D93" s="32"/>
      <c r="E93" s="32"/>
      <c r="F93" s="32"/>
      <c r="G93" s="32"/>
      <c r="H93" s="32"/>
      <c r="I93" s="40">
        <f>príjmy!M120</f>
        <v>0</v>
      </c>
      <c r="J93" s="6"/>
    </row>
    <row r="94" spans="1:10" ht="12.75">
      <c r="A94" s="35" t="s">
        <v>45</v>
      </c>
      <c r="B94" s="36" t="s">
        <v>100</v>
      </c>
      <c r="C94" s="36"/>
      <c r="D94" s="36"/>
      <c r="E94" s="36"/>
      <c r="F94" s="36"/>
      <c r="G94" s="36"/>
      <c r="H94" s="36"/>
      <c r="I94" s="33">
        <f>SUM(príjmy!M121)</f>
        <v>0</v>
      </c>
      <c r="J94" s="6"/>
    </row>
    <row r="95" spans="1:10" ht="12.75">
      <c r="A95" s="43"/>
      <c r="B95" s="44"/>
      <c r="C95" s="44"/>
      <c r="D95" s="44"/>
      <c r="E95" s="44"/>
      <c r="F95" s="44"/>
      <c r="G95" s="44"/>
      <c r="H95" s="44"/>
      <c r="I95" s="30"/>
      <c r="J95" s="4"/>
    </row>
    <row r="96" spans="1:10" ht="15">
      <c r="A96" s="1238" t="s">
        <v>101</v>
      </c>
      <c r="B96" s="1238"/>
      <c r="C96" s="1238"/>
      <c r="D96" s="1238"/>
      <c r="E96" s="1238"/>
      <c r="F96" s="1238"/>
      <c r="G96" s="1238"/>
      <c r="H96" s="1238"/>
      <c r="I96" s="47">
        <f>I98</f>
        <v>0</v>
      </c>
      <c r="J96" s="6"/>
    </row>
    <row r="97" spans="1:10" ht="12.75">
      <c r="A97" s="43"/>
      <c r="B97" s="44"/>
      <c r="C97" s="44"/>
      <c r="D97" s="44"/>
      <c r="E97" s="44"/>
      <c r="F97" s="44"/>
      <c r="G97" s="44"/>
      <c r="H97" s="44"/>
      <c r="I97" s="45"/>
      <c r="J97" s="6"/>
    </row>
    <row r="98" spans="1:10" ht="12.75">
      <c r="A98" s="35" t="s">
        <v>3</v>
      </c>
      <c r="B98" s="36" t="s">
        <v>102</v>
      </c>
      <c r="C98" s="36"/>
      <c r="D98" s="36"/>
      <c r="E98" s="36"/>
      <c r="F98" s="36"/>
      <c r="G98" s="36"/>
      <c r="H98" s="36"/>
      <c r="I98" s="33">
        <f>príjmy!L147</f>
        <v>0</v>
      </c>
      <c r="J98" s="6"/>
    </row>
    <row r="99" spans="1:9" ht="12.75">
      <c r="A99" s="43"/>
      <c r="B99" s="44"/>
      <c r="C99" s="44"/>
      <c r="D99" s="44"/>
      <c r="E99" s="44"/>
      <c r="F99" s="44"/>
      <c r="G99" s="44"/>
      <c r="H99" s="44"/>
      <c r="I99" s="45"/>
    </row>
    <row r="100" spans="1:9" ht="12.75">
      <c r="A100" s="43"/>
      <c r="B100" s="44"/>
      <c r="C100" s="44"/>
      <c r="D100" s="44"/>
      <c r="E100" s="44"/>
      <c r="F100" s="44"/>
      <c r="G100" s="44"/>
      <c r="H100" s="44"/>
      <c r="I100" s="45"/>
    </row>
    <row r="101" spans="1:9" ht="15">
      <c r="A101" s="48"/>
      <c r="B101" s="48"/>
      <c r="C101" s="1239" t="s">
        <v>103</v>
      </c>
      <c r="D101" s="1239"/>
      <c r="E101" s="1239"/>
      <c r="F101" s="1239"/>
      <c r="G101" s="1239"/>
      <c r="H101" s="1239"/>
      <c r="I101" s="49"/>
    </row>
    <row r="102" spans="1:9" ht="12.75">
      <c r="A102" s="43"/>
      <c r="B102" s="44"/>
      <c r="C102" s="44"/>
      <c r="D102" s="44"/>
      <c r="E102" s="44"/>
      <c r="F102" s="44"/>
      <c r="G102" s="44"/>
      <c r="H102" s="44"/>
      <c r="I102" s="45"/>
    </row>
    <row r="103" spans="1:9" ht="12.75">
      <c r="A103" s="50"/>
      <c r="B103" s="44"/>
      <c r="C103" s="44"/>
      <c r="D103" s="44"/>
      <c r="E103" s="44"/>
      <c r="F103" s="44"/>
      <c r="G103" s="1235"/>
      <c r="H103" s="1235"/>
      <c r="I103" s="51"/>
    </row>
    <row r="104" spans="1:9" ht="15">
      <c r="A104" s="50"/>
      <c r="B104" s="44"/>
      <c r="C104" s="1233" t="s">
        <v>1</v>
      </c>
      <c r="D104" s="1233"/>
      <c r="E104" s="1233"/>
      <c r="F104" s="1233"/>
      <c r="G104" s="1236">
        <f>I3</f>
        <v>1614323</v>
      </c>
      <c r="H104" s="1236"/>
      <c r="I104" s="52"/>
    </row>
    <row r="105" spans="1:9" ht="15">
      <c r="A105" s="50"/>
      <c r="B105" s="44"/>
      <c r="C105" s="1233" t="s">
        <v>89</v>
      </c>
      <c r="D105" s="1233"/>
      <c r="E105" s="1233"/>
      <c r="F105" s="1233"/>
      <c r="G105" s="1236">
        <f>I78</f>
        <v>282356</v>
      </c>
      <c r="H105" s="1236"/>
      <c r="I105" s="52"/>
    </row>
    <row r="106" spans="1:9" ht="15">
      <c r="A106" s="50"/>
      <c r="B106" s="44"/>
      <c r="C106" s="1233" t="s">
        <v>101</v>
      </c>
      <c r="D106" s="1233"/>
      <c r="E106" s="1233"/>
      <c r="F106" s="1233"/>
      <c r="G106" s="1234">
        <f>I96</f>
        <v>0</v>
      </c>
      <c r="H106" s="1234"/>
      <c r="I106" s="52"/>
    </row>
    <row r="107" spans="1:9" ht="15">
      <c r="A107" s="50"/>
      <c r="B107" s="44"/>
      <c r="C107" s="1233" t="s">
        <v>104</v>
      </c>
      <c r="D107" s="1233"/>
      <c r="E107" s="1233"/>
      <c r="F107" s="1233"/>
      <c r="G107" s="1234">
        <v>0</v>
      </c>
      <c r="H107" s="1234"/>
      <c r="I107" s="52"/>
    </row>
    <row r="108" spans="1:9" ht="15">
      <c r="A108" s="50"/>
      <c r="B108" s="44"/>
      <c r="C108" s="1231" t="s">
        <v>105</v>
      </c>
      <c r="D108" s="1231"/>
      <c r="E108" s="1231"/>
      <c r="F108" s="1231"/>
      <c r="G108" s="1232">
        <f>SUM(G104,G105,G106,G107)</f>
        <v>1896679</v>
      </c>
      <c r="H108" s="1232"/>
      <c r="I108" s="52"/>
    </row>
    <row r="109" spans="1:9" ht="12.75">
      <c r="A109" s="50"/>
      <c r="B109" s="44"/>
      <c r="C109" s="44"/>
      <c r="D109" s="44"/>
      <c r="E109" s="44"/>
      <c r="F109" s="44"/>
      <c r="G109" s="44"/>
      <c r="H109" s="44"/>
      <c r="I109" s="53"/>
    </row>
    <row r="110" spans="1:9" ht="12.75">
      <c r="A110" s="50"/>
      <c r="B110" s="44"/>
      <c r="C110" s="44"/>
      <c r="D110" s="44"/>
      <c r="E110" s="44"/>
      <c r="F110" s="44"/>
      <c r="G110" s="44"/>
      <c r="H110" s="44"/>
      <c r="I110" s="53"/>
    </row>
  </sheetData>
  <sheetProtection/>
  <mergeCells count="55">
    <mergeCell ref="A10:H10"/>
    <mergeCell ref="A12:H12"/>
    <mergeCell ref="B13:H13"/>
    <mergeCell ref="A14:H14"/>
    <mergeCell ref="A1:I1"/>
    <mergeCell ref="A3:H3"/>
    <mergeCell ref="A5:H5"/>
    <mergeCell ref="A8:H8"/>
    <mergeCell ref="A20:H20"/>
    <mergeCell ref="A32:H32"/>
    <mergeCell ref="B34:H34"/>
    <mergeCell ref="A35:H35"/>
    <mergeCell ref="B15:H15"/>
    <mergeCell ref="A16:H16"/>
    <mergeCell ref="B17:H17"/>
    <mergeCell ref="A18:H18"/>
    <mergeCell ref="B40:H40"/>
    <mergeCell ref="A41:H41"/>
    <mergeCell ref="B42:H42"/>
    <mergeCell ref="A43:H43"/>
    <mergeCell ref="B36:H36"/>
    <mergeCell ref="A37:H37"/>
    <mergeCell ref="B38:H38"/>
    <mergeCell ref="A39:H39"/>
    <mergeCell ref="B48:H48"/>
    <mergeCell ref="B49:H49"/>
    <mergeCell ref="B50:H50"/>
    <mergeCell ref="A51:H51"/>
    <mergeCell ref="B44:H44"/>
    <mergeCell ref="A45:H45"/>
    <mergeCell ref="B46:H46"/>
    <mergeCell ref="A47:H47"/>
    <mergeCell ref="A57:H57"/>
    <mergeCell ref="A59:I59"/>
    <mergeCell ref="J59:R59"/>
    <mergeCell ref="A78:H78"/>
    <mergeCell ref="B52:H52"/>
    <mergeCell ref="A53:H53"/>
    <mergeCell ref="B54:H54"/>
    <mergeCell ref="A55:H55"/>
    <mergeCell ref="G103:H103"/>
    <mergeCell ref="C104:F104"/>
    <mergeCell ref="G104:H104"/>
    <mergeCell ref="C105:F105"/>
    <mergeCell ref="G105:H105"/>
    <mergeCell ref="A80:H80"/>
    <mergeCell ref="A85:H85"/>
    <mergeCell ref="A96:H96"/>
    <mergeCell ref="C101:H101"/>
    <mergeCell ref="C108:F108"/>
    <mergeCell ref="G108:H108"/>
    <mergeCell ref="C106:F106"/>
    <mergeCell ref="G106:H106"/>
    <mergeCell ref="C107:F107"/>
    <mergeCell ref="G107:H107"/>
  </mergeCells>
  <printOptions horizontalCentered="1"/>
  <pageMargins left="0.7479166666666667" right="0.3541666666666667" top="0.984027777777778" bottom="0.9840277777777778" header="0.5118055555555556" footer="0.5118055555555556"/>
  <pageSetup horizontalDpi="300" verticalDpi="300" orientation="portrait" paperSize="9" r:id="rId1"/>
  <headerFooter alignWithMargins="0">
    <oddHeader>&amp;CPROGRAMOVÝ ROZPOČET OBCE TEKOVSKÉ LUŽANY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25">
      <selection activeCell="E30" sqref="E30"/>
    </sheetView>
  </sheetViews>
  <sheetFormatPr defaultColWidth="9.140625" defaultRowHeight="12.75"/>
  <cols>
    <col min="1" max="1" width="3.57421875" style="306" customWidth="1"/>
    <col min="2" max="2" width="4.140625" style="1" customWidth="1"/>
    <col min="3" max="3" width="9.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0" style="0" hidden="1" customWidth="1"/>
    <col min="8" max="12" width="8.28125" style="0" customWidth="1"/>
  </cols>
  <sheetData>
    <row r="1" spans="2:12" ht="15.75">
      <c r="B1" s="310" t="s">
        <v>397</v>
      </c>
      <c r="E1" s="310" t="s">
        <v>398</v>
      </c>
      <c r="F1" s="308"/>
      <c r="G1" s="478" t="e">
        <f>G2-G7</f>
        <v>#REF!</v>
      </c>
      <c r="H1" s="478"/>
      <c r="I1" s="478"/>
      <c r="J1" s="318">
        <f>J2-J7</f>
        <v>0</v>
      </c>
      <c r="K1" s="318">
        <f>K2-K7</f>
        <v>0</v>
      </c>
      <c r="L1" s="318">
        <f>L2-L7</f>
        <v>0</v>
      </c>
    </row>
    <row r="2" spans="2:12" ht="15.75">
      <c r="B2" s="310"/>
      <c r="F2" s="478"/>
      <c r="G2" s="478" t="e">
        <f>SUM(G8:G10)</f>
        <v>#REF!</v>
      </c>
      <c r="H2" s="478"/>
      <c r="I2" s="478"/>
      <c r="J2" s="318">
        <f>SUM(J8:J10)</f>
        <v>94000</v>
      </c>
      <c r="K2" s="318">
        <f>SUM(K8:K10)</f>
        <v>101360</v>
      </c>
      <c r="L2" s="318">
        <f>SUM(L8:L10)</f>
        <v>0</v>
      </c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5" customHeight="1">
      <c r="A4" s="324"/>
      <c r="B4" s="325" t="s">
        <v>216</v>
      </c>
      <c r="C4" s="326" t="s">
        <v>217</v>
      </c>
      <c r="D4" s="1259" t="s">
        <v>218</v>
      </c>
      <c r="E4" s="1259"/>
      <c r="F4" s="1259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2" customHeight="1">
      <c r="A5" s="324"/>
      <c r="B5" s="325" t="s">
        <v>221</v>
      </c>
      <c r="C5" s="326" t="s">
        <v>222</v>
      </c>
      <c r="D5" s="1259"/>
      <c r="E5" s="1259"/>
      <c r="F5" s="1259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324"/>
      <c r="B6" s="325" t="s">
        <v>226</v>
      </c>
      <c r="C6" s="326" t="s">
        <v>227</v>
      </c>
      <c r="D6" s="1259"/>
      <c r="E6" s="1259"/>
      <c r="F6" s="1259"/>
      <c r="G6" s="333">
        <v>1</v>
      </c>
      <c r="H6" s="333">
        <v>0</v>
      </c>
      <c r="I6" s="333">
        <v>1</v>
      </c>
      <c r="J6" s="334">
        <v>2</v>
      </c>
      <c r="K6" s="335">
        <v>3</v>
      </c>
      <c r="L6" s="335">
        <v>4</v>
      </c>
    </row>
    <row r="7" spans="1:12" ht="15">
      <c r="A7" s="343">
        <v>1</v>
      </c>
      <c r="B7" s="337" t="s">
        <v>397</v>
      </c>
      <c r="C7" s="651"/>
      <c r="D7" s="652"/>
      <c r="E7" s="339" t="s">
        <v>398</v>
      </c>
      <c r="F7" s="653"/>
      <c r="G7" s="568" t="e">
        <f>G11+#REF!+#REF!+#REF!+#REF!+#REF!+#REF!+#REF!+#REF!</f>
        <v>#REF!</v>
      </c>
      <c r="H7" s="342">
        <f>SUM(H8:H10)</f>
        <v>69850</v>
      </c>
      <c r="I7" s="342">
        <f>SUM(I8:I10)</f>
        <v>29623.829999999994</v>
      </c>
      <c r="J7" s="342">
        <f>SUM(J8:J10)</f>
        <v>94000</v>
      </c>
      <c r="K7" s="342">
        <f>SUM(K8:K10)</f>
        <v>101360</v>
      </c>
      <c r="L7" s="342">
        <f>SUM(L8:L10)</f>
        <v>0</v>
      </c>
    </row>
    <row r="8" spans="1:12" ht="12.75">
      <c r="A8" s="343">
        <f aca="true" t="shared" si="0" ref="A8:A15">A7+1</f>
        <v>2</v>
      </c>
      <c r="B8" s="344" t="s">
        <v>229</v>
      </c>
      <c r="C8" s="345" t="s">
        <v>230</v>
      </c>
      <c r="D8" s="346"/>
      <c r="E8" s="347"/>
      <c r="F8" s="348"/>
      <c r="G8" s="493" t="e">
        <f>G12+G20+#REF!+#REF!+#REF!+#REF!+#REF!+#REF!</f>
        <v>#REF!</v>
      </c>
      <c r="H8" s="495">
        <f>SUM(H12+H20+H30+H45+H49+H53+H62+H67)</f>
        <v>69850</v>
      </c>
      <c r="I8" s="495">
        <f>SUM(I12+I20+I30+I45+I49+I53+I62+I67)</f>
        <v>29623.829999999994</v>
      </c>
      <c r="J8" s="495">
        <f>SUM(J12+J20+J30+J45+J49+J53+J62+J67)</f>
        <v>64000</v>
      </c>
      <c r="K8" s="495">
        <f>SUM(K12+K20+K30+K45+K49+K53+K62+K67)</f>
        <v>71360</v>
      </c>
      <c r="L8" s="495">
        <f>SUM(L12+L20+L30+L45+L49+L53+L62+L67)</f>
        <v>0</v>
      </c>
    </row>
    <row r="9" spans="1:12" ht="12.75">
      <c r="A9" s="343">
        <f t="shared" si="0"/>
        <v>3</v>
      </c>
      <c r="B9" s="344" t="s">
        <v>231</v>
      </c>
      <c r="C9" s="345" t="s">
        <v>232</v>
      </c>
      <c r="D9" s="346"/>
      <c r="E9" s="347"/>
      <c r="F9" s="348"/>
      <c r="G9" s="493" t="e">
        <f>G25+#REF!+#REF!+#REF!+#REF!</f>
        <v>#REF!</v>
      </c>
      <c r="H9" s="495">
        <f>SUM(H25+H42+H58)</f>
        <v>0</v>
      </c>
      <c r="I9" s="495">
        <f>SUM(I25+I42+I58)</f>
        <v>0</v>
      </c>
      <c r="J9" s="494">
        <f>SUM(J25+J42+J58)</f>
        <v>30000</v>
      </c>
      <c r="K9" s="495">
        <f>SUM(K25+K42+K58)</f>
        <v>30000</v>
      </c>
      <c r="L9" s="495">
        <f>SUM(L25+L42+L58)</f>
        <v>0</v>
      </c>
    </row>
    <row r="10" spans="1:12" ht="12.75">
      <c r="A10" s="343">
        <f t="shared" si="0"/>
        <v>4</v>
      </c>
      <c r="B10" s="351"/>
      <c r="C10" s="352" t="s">
        <v>233</v>
      </c>
      <c r="D10" s="353"/>
      <c r="E10" s="354"/>
      <c r="F10" s="355"/>
      <c r="G10" s="498" t="e">
        <f>#REF!+#REF!</f>
        <v>#REF!</v>
      </c>
      <c r="H10" s="495">
        <v>0</v>
      </c>
      <c r="I10" s="495">
        <v>0</v>
      </c>
      <c r="J10" s="499">
        <v>0</v>
      </c>
      <c r="K10" s="495">
        <v>0</v>
      </c>
      <c r="L10" s="495">
        <v>0</v>
      </c>
    </row>
    <row r="11" spans="1:12" ht="12.75">
      <c r="A11" s="343">
        <f t="shared" si="0"/>
        <v>5</v>
      </c>
      <c r="B11" s="358">
        <v>1</v>
      </c>
      <c r="C11" s="461" t="s">
        <v>399</v>
      </c>
      <c r="D11" s="360"/>
      <c r="E11" s="360"/>
      <c r="F11" s="361"/>
      <c r="G11" s="362" t="e">
        <f>SUM(G13)</f>
        <v>#REF!</v>
      </c>
      <c r="H11" s="363">
        <f aca="true" t="shared" si="1" ref="H11:L12">H12</f>
        <v>17400</v>
      </c>
      <c r="I11" s="363">
        <f t="shared" si="1"/>
        <v>8716.99</v>
      </c>
      <c r="J11" s="502">
        <f t="shared" si="1"/>
        <v>20100</v>
      </c>
      <c r="K11" s="363">
        <f t="shared" si="1"/>
        <v>20650</v>
      </c>
      <c r="L11" s="363">
        <f t="shared" si="1"/>
        <v>0</v>
      </c>
    </row>
    <row r="12" spans="1:12" ht="12.75">
      <c r="A12" s="343">
        <f t="shared" si="0"/>
        <v>6</v>
      </c>
      <c r="B12" s="373"/>
      <c r="C12" s="374"/>
      <c r="D12" s="348" t="s">
        <v>230</v>
      </c>
      <c r="E12" s="375"/>
      <c r="F12" s="376"/>
      <c r="G12" s="377" t="e">
        <f>G13</f>
        <v>#REF!</v>
      </c>
      <c r="H12" s="378">
        <f t="shared" si="1"/>
        <v>17400</v>
      </c>
      <c r="I12" s="378">
        <f t="shared" si="1"/>
        <v>8716.99</v>
      </c>
      <c r="J12" s="378">
        <f t="shared" si="1"/>
        <v>20100</v>
      </c>
      <c r="K12" s="378">
        <f t="shared" si="1"/>
        <v>20650</v>
      </c>
      <c r="L12" s="378">
        <f t="shared" si="1"/>
        <v>0</v>
      </c>
    </row>
    <row r="13" spans="1:12" ht="12.75">
      <c r="A13" s="343">
        <f t="shared" si="0"/>
        <v>7</v>
      </c>
      <c r="B13" s="373"/>
      <c r="C13" s="459" t="s">
        <v>400</v>
      </c>
      <c r="D13" s="381" t="s">
        <v>401</v>
      </c>
      <c r="E13" s="382"/>
      <c r="F13" s="383"/>
      <c r="G13" s="430" t="e">
        <f>SUM(#REF!)</f>
        <v>#REF!</v>
      </c>
      <c r="H13" s="431">
        <f>SUM(H14:H18)</f>
        <v>17400</v>
      </c>
      <c r="I13" s="431">
        <f>SUM(I14:I18)</f>
        <v>8716.99</v>
      </c>
      <c r="J13" s="431">
        <f>SUM(J14,J15,J16,J17,J18)</f>
        <v>20100</v>
      </c>
      <c r="K13" s="431">
        <f>SUM(K14:K18)</f>
        <v>20650</v>
      </c>
      <c r="L13" s="431">
        <f>SUM(L14:L18)</f>
        <v>0</v>
      </c>
    </row>
    <row r="14" spans="1:12" ht="12.75">
      <c r="A14" s="343">
        <f t="shared" si="0"/>
        <v>8</v>
      </c>
      <c r="B14" s="373"/>
      <c r="C14" s="418" t="s">
        <v>245</v>
      </c>
      <c r="D14" s="432" t="s">
        <v>266</v>
      </c>
      <c r="E14" s="420" t="s">
        <v>402</v>
      </c>
      <c r="F14" s="654"/>
      <c r="G14" s="655"/>
      <c r="H14" s="435">
        <f>výdavky!D271</f>
        <v>10000</v>
      </c>
      <c r="I14" s="435">
        <f>výdavky!E271</f>
        <v>2413.54</v>
      </c>
      <c r="J14" s="656">
        <f>výdavky!F271</f>
        <v>10000</v>
      </c>
      <c r="K14" s="435">
        <f>výdavky!G271</f>
        <v>6500</v>
      </c>
      <c r="L14" s="435">
        <f>výdavky!H271</f>
        <v>0</v>
      </c>
    </row>
    <row r="15" spans="1:12" ht="12.75">
      <c r="A15" s="343">
        <f t="shared" si="0"/>
        <v>9</v>
      </c>
      <c r="B15" s="373"/>
      <c r="C15" s="418" t="s">
        <v>247</v>
      </c>
      <c r="D15" s="437" t="s">
        <v>268</v>
      </c>
      <c r="E15" s="424" t="s">
        <v>403</v>
      </c>
      <c r="F15" s="657"/>
      <c r="G15" s="658"/>
      <c r="H15" s="429">
        <f>výdavky!D272</f>
        <v>500</v>
      </c>
      <c r="I15" s="429">
        <f>výdavky!E272</f>
        <v>3445.09</v>
      </c>
      <c r="J15" s="659">
        <f>výdavky!F272</f>
        <v>3500</v>
      </c>
      <c r="K15" s="429">
        <f>výdavky!G272</f>
        <v>5400</v>
      </c>
      <c r="L15" s="429">
        <f>výdavky!H272</f>
        <v>0</v>
      </c>
    </row>
    <row r="16" spans="1:12" ht="12.75">
      <c r="A16" s="343">
        <v>10</v>
      </c>
      <c r="B16" s="373"/>
      <c r="C16" s="418" t="s">
        <v>249</v>
      </c>
      <c r="D16" s="432" t="s">
        <v>279</v>
      </c>
      <c r="E16" s="420" t="s">
        <v>404</v>
      </c>
      <c r="F16" s="654"/>
      <c r="G16" s="655"/>
      <c r="H16" s="435">
        <f>výdavky!D273</f>
        <v>6100</v>
      </c>
      <c r="I16" s="435">
        <f>výdavky!E273</f>
        <v>2518.56</v>
      </c>
      <c r="J16" s="656">
        <f>výdavky!F273</f>
        <v>6100</v>
      </c>
      <c r="K16" s="435">
        <f>výdavky!G273</f>
        <v>6900</v>
      </c>
      <c r="L16" s="435">
        <f>výdavky!H273</f>
        <v>0</v>
      </c>
    </row>
    <row r="17" spans="1:12" ht="12.75">
      <c r="A17" s="343">
        <v>11</v>
      </c>
      <c r="B17" s="373"/>
      <c r="C17" s="418" t="s">
        <v>251</v>
      </c>
      <c r="D17" s="437" t="s">
        <v>281</v>
      </c>
      <c r="E17" s="424" t="s">
        <v>334</v>
      </c>
      <c r="F17" s="657"/>
      <c r="G17" s="658"/>
      <c r="H17" s="429">
        <f>výdavky!D274</f>
        <v>500</v>
      </c>
      <c r="I17" s="429">
        <f>výdavky!E274</f>
        <v>339.8</v>
      </c>
      <c r="J17" s="659">
        <f>výdavky!F274</f>
        <v>500</v>
      </c>
      <c r="K17" s="429">
        <f>výdavky!G274</f>
        <v>350</v>
      </c>
      <c r="L17" s="429">
        <f>výdavky!H274</f>
        <v>0</v>
      </c>
    </row>
    <row r="18" spans="1:12" ht="12.75">
      <c r="A18" s="343">
        <v>12</v>
      </c>
      <c r="B18" s="373"/>
      <c r="C18" s="418" t="s">
        <v>255</v>
      </c>
      <c r="D18" s="437" t="s">
        <v>283</v>
      </c>
      <c r="E18" s="424" t="s">
        <v>256</v>
      </c>
      <c r="F18" s="657"/>
      <c r="G18" s="658"/>
      <c r="H18" s="429">
        <f>výdavky!D275</f>
        <v>300</v>
      </c>
      <c r="I18" s="429">
        <f>výdavky!E275</f>
        <v>0</v>
      </c>
      <c r="J18" s="659">
        <f>výdavky!F275</f>
        <v>0</v>
      </c>
      <c r="K18" s="429">
        <f>výdavky!G276</f>
        <v>1500</v>
      </c>
      <c r="L18" s="429">
        <f>výdavky!H275</f>
        <v>0</v>
      </c>
    </row>
    <row r="19" spans="1:12" ht="12.75">
      <c r="A19" s="343">
        <f aca="true" t="shared" si="2" ref="A19:A27">A18+1</f>
        <v>13</v>
      </c>
      <c r="B19" s="358">
        <v>2</v>
      </c>
      <c r="C19" s="461" t="s">
        <v>405</v>
      </c>
      <c r="D19" s="360"/>
      <c r="E19" s="360"/>
      <c r="F19" s="361"/>
      <c r="G19" s="362">
        <f>SUM(G21)</f>
        <v>609.9</v>
      </c>
      <c r="H19" s="364">
        <f>SUM(H20+H25)</f>
        <v>5900</v>
      </c>
      <c r="I19" s="364">
        <f>SUM(I20+I25)</f>
        <v>3073.42</v>
      </c>
      <c r="J19" s="502">
        <f>SUM(J20+J25)</f>
        <v>5900</v>
      </c>
      <c r="K19" s="364">
        <f>SUM(K20+K25)</f>
        <v>6800</v>
      </c>
      <c r="L19" s="364">
        <f>SUM(L20+L25)</f>
        <v>0</v>
      </c>
    </row>
    <row r="20" spans="1:12" ht="12.75">
      <c r="A20" s="343">
        <f t="shared" si="2"/>
        <v>14</v>
      </c>
      <c r="B20" s="373"/>
      <c r="C20" s="374"/>
      <c r="D20" s="348" t="s">
        <v>230</v>
      </c>
      <c r="E20" s="375"/>
      <c r="F20" s="376"/>
      <c r="G20" s="377">
        <f aca="true" t="shared" si="3" ref="G20:L20">G21</f>
        <v>609.9</v>
      </c>
      <c r="H20" s="378">
        <f t="shared" si="3"/>
        <v>5900</v>
      </c>
      <c r="I20" s="378">
        <f t="shared" si="3"/>
        <v>3073.42</v>
      </c>
      <c r="J20" s="504">
        <f t="shared" si="3"/>
        <v>5900</v>
      </c>
      <c r="K20" s="378">
        <f t="shared" si="3"/>
        <v>6800</v>
      </c>
      <c r="L20" s="378">
        <f t="shared" si="3"/>
        <v>0</v>
      </c>
    </row>
    <row r="21" spans="1:12" ht="12.75">
      <c r="A21" s="343">
        <f t="shared" si="2"/>
        <v>15</v>
      </c>
      <c r="B21" s="407"/>
      <c r="C21" s="459" t="s">
        <v>400</v>
      </c>
      <c r="D21" s="381" t="s">
        <v>401</v>
      </c>
      <c r="E21" s="382"/>
      <c r="F21" s="383"/>
      <c r="G21" s="417">
        <f>SUM(G22:G23)</f>
        <v>609.9</v>
      </c>
      <c r="H21" s="385">
        <f>SUM(H22:H24)</f>
        <v>5900</v>
      </c>
      <c r="I21" s="385">
        <f>SUM(I22:I24)</f>
        <v>3073.42</v>
      </c>
      <c r="J21" s="385">
        <f>SUM(J22:J24)</f>
        <v>5900</v>
      </c>
      <c r="K21" s="385">
        <f>SUM(K22:K24)</f>
        <v>6800</v>
      </c>
      <c r="L21" s="385">
        <f>SUM(L22:L24)</f>
        <v>0</v>
      </c>
    </row>
    <row r="22" spans="1:12" ht="12.75">
      <c r="A22" s="343">
        <f t="shared" si="2"/>
        <v>16</v>
      </c>
      <c r="B22" s="407"/>
      <c r="C22" s="438" t="s">
        <v>265</v>
      </c>
      <c r="D22" s="432" t="s">
        <v>266</v>
      </c>
      <c r="E22" s="389" t="s">
        <v>406</v>
      </c>
      <c r="F22" s="433"/>
      <c r="G22" s="660">
        <f>ROUND(K22/30.126,1)</f>
        <v>199.2</v>
      </c>
      <c r="H22" s="453">
        <f>výdavky!D278</f>
        <v>5100</v>
      </c>
      <c r="I22" s="453">
        <f>výdavky!E277</f>
        <v>3073.42</v>
      </c>
      <c r="J22" s="532">
        <f>výdavky!F278</f>
        <v>5100</v>
      </c>
      <c r="K22" s="453">
        <f>výdavky!G278</f>
        <v>6000</v>
      </c>
      <c r="L22" s="453">
        <f>výdavky!H278</f>
        <v>0</v>
      </c>
    </row>
    <row r="23" spans="1:12" ht="12.75">
      <c r="A23" s="343">
        <f t="shared" si="2"/>
        <v>17</v>
      </c>
      <c r="B23" s="407"/>
      <c r="C23" s="436" t="s">
        <v>265</v>
      </c>
      <c r="D23" s="437" t="s">
        <v>268</v>
      </c>
      <c r="E23" s="398" t="s">
        <v>407</v>
      </c>
      <c r="F23" s="405"/>
      <c r="G23" s="661">
        <f>397.4+13.3</f>
        <v>410.7</v>
      </c>
      <c r="H23" s="455">
        <f>SUM(výdavky!D279)</f>
        <v>400</v>
      </c>
      <c r="I23" s="455">
        <v>0</v>
      </c>
      <c r="J23" s="511">
        <f>výdavky!F279</f>
        <v>400</v>
      </c>
      <c r="K23" s="455">
        <f>výdavky!G279</f>
        <v>400</v>
      </c>
      <c r="L23" s="455">
        <f>výdavky!H279</f>
        <v>0</v>
      </c>
    </row>
    <row r="24" spans="1:12" ht="12.75">
      <c r="A24" s="343">
        <f t="shared" si="2"/>
        <v>18</v>
      </c>
      <c r="B24" s="407"/>
      <c r="C24" s="436" t="s">
        <v>265</v>
      </c>
      <c r="D24" s="437" t="s">
        <v>279</v>
      </c>
      <c r="E24" s="398" t="s">
        <v>408</v>
      </c>
      <c r="F24" s="405"/>
      <c r="G24" s="661"/>
      <c r="H24" s="455">
        <f>SUM(výdavky!D280)</f>
        <v>400</v>
      </c>
      <c r="I24" s="455">
        <v>0</v>
      </c>
      <c r="J24" s="511">
        <f>výdavky!F280</f>
        <v>400</v>
      </c>
      <c r="K24" s="455">
        <f>výdavky!G280</f>
        <v>400</v>
      </c>
      <c r="L24" s="455">
        <f>výdavky!H280</f>
        <v>0</v>
      </c>
    </row>
    <row r="25" spans="1:12" ht="12.75">
      <c r="A25" s="343">
        <f t="shared" si="2"/>
        <v>19</v>
      </c>
      <c r="B25" s="407"/>
      <c r="C25" s="436"/>
      <c r="D25" s="348" t="s">
        <v>232</v>
      </c>
      <c r="E25" s="404"/>
      <c r="F25" s="376"/>
      <c r="G25" s="613" t="e">
        <f aca="true" t="shared" si="4" ref="G25:L25">G26</f>
        <v>#REF!</v>
      </c>
      <c r="H25" s="579">
        <f t="shared" si="4"/>
        <v>0</v>
      </c>
      <c r="I25" s="579">
        <f t="shared" si="4"/>
        <v>0</v>
      </c>
      <c r="J25" s="662">
        <f t="shared" si="4"/>
        <v>0</v>
      </c>
      <c r="K25" s="579">
        <f t="shared" si="4"/>
        <v>0</v>
      </c>
      <c r="L25" s="579">
        <f t="shared" si="4"/>
        <v>0</v>
      </c>
    </row>
    <row r="26" spans="1:12" ht="12.75">
      <c r="A26" s="343">
        <f t="shared" si="2"/>
        <v>20</v>
      </c>
      <c r="B26" s="407"/>
      <c r="C26" s="459" t="s">
        <v>400</v>
      </c>
      <c r="D26" s="381" t="s">
        <v>401</v>
      </c>
      <c r="E26" s="382"/>
      <c r="F26" s="383"/>
      <c r="G26" s="417" t="e">
        <f>SUM(#REF!)</f>
        <v>#REF!</v>
      </c>
      <c r="H26" s="385">
        <f>SUM(H27:H27)</f>
        <v>0</v>
      </c>
      <c r="I26" s="385">
        <f>SUM(I27:I27)</f>
        <v>0</v>
      </c>
      <c r="J26" s="530">
        <f>SUM(J27:J27)</f>
        <v>0</v>
      </c>
      <c r="K26" s="385">
        <f>SUM(K27:K27)</f>
        <v>0</v>
      </c>
      <c r="L26" s="385">
        <f>SUM(L27:L27)</f>
        <v>0</v>
      </c>
    </row>
    <row r="27" spans="1:12" ht="12.75">
      <c r="A27" s="343">
        <f t="shared" si="2"/>
        <v>21</v>
      </c>
      <c r="B27" s="407"/>
      <c r="C27" s="436" t="s">
        <v>348</v>
      </c>
      <c r="D27" s="437" t="s">
        <v>281</v>
      </c>
      <c r="E27" s="394"/>
      <c r="F27" s="657"/>
      <c r="G27" s="426"/>
      <c r="H27" s="397">
        <v>0</v>
      </c>
      <c r="I27" s="397">
        <v>0</v>
      </c>
      <c r="J27" s="511">
        <v>0</v>
      </c>
      <c r="K27" s="397">
        <v>0</v>
      </c>
      <c r="L27" s="397">
        <v>0</v>
      </c>
    </row>
    <row r="28" spans="1:12" ht="12.75">
      <c r="A28" s="343">
        <v>22</v>
      </c>
      <c r="B28" s="358">
        <v>3</v>
      </c>
      <c r="C28" s="461" t="s">
        <v>409</v>
      </c>
      <c r="D28" s="360"/>
      <c r="E28" s="360"/>
      <c r="F28" s="361"/>
      <c r="G28" s="362">
        <f>G31+G63</f>
        <v>2472.8999999999996</v>
      </c>
      <c r="H28" s="364">
        <f>SUM(H29,H44,H48)</f>
        <v>36800</v>
      </c>
      <c r="I28" s="364">
        <f>SUM(I29,I44,I48)</f>
        <v>17126.5</v>
      </c>
      <c r="J28" s="502">
        <f>SUM(J29,J44,J48)</f>
        <v>63000</v>
      </c>
      <c r="K28" s="364">
        <f>SUM(K29,K44,K48)</f>
        <v>65170</v>
      </c>
      <c r="L28" s="364">
        <f>SUM(L29,L44,L48)</f>
        <v>0</v>
      </c>
    </row>
    <row r="29" spans="1:12" ht="12.75">
      <c r="A29" s="343">
        <f aca="true" t="shared" si="5" ref="A29:A35">A28+1</f>
        <v>23</v>
      </c>
      <c r="B29" s="407"/>
      <c r="C29" s="366" t="s">
        <v>235</v>
      </c>
      <c r="D29" s="367" t="s">
        <v>410</v>
      </c>
      <c r="E29" s="368"/>
      <c r="F29" s="369"/>
      <c r="G29" s="370">
        <f>F81</f>
        <v>0</v>
      </c>
      <c r="H29" s="371">
        <f>SUM(H30+H42)</f>
        <v>34800</v>
      </c>
      <c r="I29" s="371">
        <f>SUM(I30+I42)</f>
        <v>15402.249999999998</v>
      </c>
      <c r="J29" s="663">
        <f>SUM(J30+J42)</f>
        <v>60400</v>
      </c>
      <c r="K29" s="371">
        <f>SUM(K30+K42)</f>
        <v>63020</v>
      </c>
      <c r="L29" s="371">
        <f>SUM(L30+L42)</f>
        <v>0</v>
      </c>
    </row>
    <row r="30" spans="1:12" ht="12.75">
      <c r="A30" s="343">
        <f t="shared" si="5"/>
        <v>24</v>
      </c>
      <c r="B30" s="373"/>
      <c r="C30" s="374"/>
      <c r="D30" s="348" t="s">
        <v>230</v>
      </c>
      <c r="E30" s="375"/>
      <c r="F30" s="376"/>
      <c r="G30" s="377">
        <f>G31+G63</f>
        <v>2472.8999999999996</v>
      </c>
      <c r="H30" s="378">
        <f>H31</f>
        <v>34800</v>
      </c>
      <c r="I30" s="378">
        <f>I31</f>
        <v>15402.249999999998</v>
      </c>
      <c r="J30" s="504">
        <f>J31</f>
        <v>30400</v>
      </c>
      <c r="K30" s="378">
        <f>K31</f>
        <v>33020</v>
      </c>
      <c r="L30" s="378">
        <f>L31</f>
        <v>0</v>
      </c>
    </row>
    <row r="31" spans="1:12" ht="12.75">
      <c r="A31" s="343">
        <f t="shared" si="5"/>
        <v>25</v>
      </c>
      <c r="B31" s="407"/>
      <c r="C31" s="459" t="s">
        <v>411</v>
      </c>
      <c r="D31" s="381" t="s">
        <v>410</v>
      </c>
      <c r="E31" s="382"/>
      <c r="F31" s="383"/>
      <c r="G31" s="417">
        <f>SUM(G32:G43)</f>
        <v>2472.8999999999996</v>
      </c>
      <c r="H31" s="385">
        <f>SUM(H32:H41)</f>
        <v>34800</v>
      </c>
      <c r="I31" s="385">
        <f>SUM(I32:I41)</f>
        <v>15402.249999999998</v>
      </c>
      <c r="J31" s="385">
        <f>SUM(J32:J41)</f>
        <v>30400</v>
      </c>
      <c r="K31" s="385">
        <f>SUM(K32:K41)</f>
        <v>33020</v>
      </c>
      <c r="L31" s="385">
        <f>SUM(L32:L41)</f>
        <v>0</v>
      </c>
    </row>
    <row r="32" spans="1:12" ht="12.75">
      <c r="A32" s="343">
        <f t="shared" si="5"/>
        <v>26</v>
      </c>
      <c r="B32" s="664"/>
      <c r="C32" s="418" t="s">
        <v>239</v>
      </c>
      <c r="D32" s="432" t="s">
        <v>266</v>
      </c>
      <c r="E32" s="460" t="s">
        <v>412</v>
      </c>
      <c r="F32" s="433"/>
      <c r="G32" s="439">
        <f>ROUND(K32/30.126,1)</f>
        <v>481.3</v>
      </c>
      <c r="H32" s="392">
        <f>výdavky!D283</f>
        <v>14500</v>
      </c>
      <c r="I32" s="392">
        <f>výdavky!E283</f>
        <v>8030.54</v>
      </c>
      <c r="J32" s="532">
        <f>výdavky!F283</f>
        <v>14500</v>
      </c>
      <c r="K32" s="392">
        <f>výdavky!G283</f>
        <v>14500</v>
      </c>
      <c r="L32" s="392">
        <f>výdavky!H283</f>
        <v>0</v>
      </c>
    </row>
    <row r="33" spans="1:12" ht="12.75">
      <c r="A33" s="343">
        <f t="shared" si="5"/>
        <v>27</v>
      </c>
      <c r="B33" s="664"/>
      <c r="C33" s="418" t="s">
        <v>241</v>
      </c>
      <c r="D33" s="437" t="s">
        <v>268</v>
      </c>
      <c r="E33" s="394" t="s">
        <v>242</v>
      </c>
      <c r="F33" s="405"/>
      <c r="G33" s="406"/>
      <c r="H33" s="397">
        <f>výdavky!D284</f>
        <v>4500</v>
      </c>
      <c r="I33" s="397">
        <f>výdavky!E284</f>
        <v>2921.54</v>
      </c>
      <c r="J33" s="511">
        <f>výdavky!F284</f>
        <v>4500</v>
      </c>
      <c r="K33" s="397">
        <f>výdavky!G284</f>
        <v>5145</v>
      </c>
      <c r="L33" s="397">
        <f>výdavky!H284</f>
        <v>0</v>
      </c>
    </row>
    <row r="34" spans="1:12" ht="12.75">
      <c r="A34" s="343">
        <f t="shared" si="5"/>
        <v>28</v>
      </c>
      <c r="B34" s="664"/>
      <c r="C34" s="418" t="s">
        <v>245</v>
      </c>
      <c r="D34" s="432" t="s">
        <v>279</v>
      </c>
      <c r="E34" s="460" t="s">
        <v>402</v>
      </c>
      <c r="F34" s="433"/>
      <c r="G34" s="439"/>
      <c r="H34" s="392">
        <f>výdavky!D287</f>
        <v>10000</v>
      </c>
      <c r="I34" s="392">
        <f>výdavky!E287</f>
        <v>3398.41</v>
      </c>
      <c r="J34" s="532">
        <f>výdavky!F287</f>
        <v>8000</v>
      </c>
      <c r="K34" s="392">
        <f>výdavky!G287</f>
        <v>8100</v>
      </c>
      <c r="L34" s="392">
        <f>výdavky!H287</f>
        <v>0</v>
      </c>
    </row>
    <row r="35" spans="1:12" ht="12.75">
      <c r="A35" s="343">
        <f t="shared" si="5"/>
        <v>29</v>
      </c>
      <c r="B35" s="664"/>
      <c r="C35" s="418" t="s">
        <v>247</v>
      </c>
      <c r="D35" s="510" t="s">
        <v>281</v>
      </c>
      <c r="E35" s="545" t="s">
        <v>413</v>
      </c>
      <c r="F35" s="665"/>
      <c r="G35" s="406"/>
      <c r="H35" s="403">
        <f>výdavky!D289</f>
        <v>800</v>
      </c>
      <c r="I35" s="403">
        <f>výdavky!E289</f>
        <v>122.89</v>
      </c>
      <c r="J35" s="548">
        <f>SUM(výdavky!F289)</f>
        <v>500</v>
      </c>
      <c r="K35" s="403">
        <f>výdavky!G289</f>
        <v>1950</v>
      </c>
      <c r="L35" s="403">
        <f>výdavky!H289</f>
        <v>0</v>
      </c>
    </row>
    <row r="36" spans="1:12" ht="12.75">
      <c r="A36" s="343">
        <v>30</v>
      </c>
      <c r="B36" s="664"/>
      <c r="C36" s="436" t="s">
        <v>247</v>
      </c>
      <c r="D36" s="437" t="s">
        <v>283</v>
      </c>
      <c r="E36" s="394" t="s">
        <v>414</v>
      </c>
      <c r="F36" s="399"/>
      <c r="G36" s="391"/>
      <c r="H36" s="666">
        <f>SUM(výdavky!D288)</f>
        <v>200</v>
      </c>
      <c r="I36" s="397">
        <f>SUM(výdavky!E288)</f>
        <v>219</v>
      </c>
      <c r="J36" s="511">
        <f>SUM(výdavky!F288)</f>
        <v>300</v>
      </c>
      <c r="K36" s="397">
        <f>výdavky!G288</f>
        <v>300</v>
      </c>
      <c r="L36" s="667"/>
    </row>
    <row r="37" spans="1:12" ht="12.75">
      <c r="A37" s="343">
        <v>31</v>
      </c>
      <c r="B37" s="664"/>
      <c r="C37" s="418" t="s">
        <v>247</v>
      </c>
      <c r="D37" s="432" t="s">
        <v>287</v>
      </c>
      <c r="E37" s="460" t="s">
        <v>415</v>
      </c>
      <c r="F37" s="433"/>
      <c r="G37" s="439"/>
      <c r="H37" s="392">
        <f>výdavky!D291</f>
        <v>500</v>
      </c>
      <c r="I37" s="392">
        <f>výdavky!E291</f>
        <v>465.96</v>
      </c>
      <c r="J37" s="532">
        <f>výdavky!F291</f>
        <v>500</v>
      </c>
      <c r="K37" s="392">
        <f>výdavky!G291</f>
        <v>800</v>
      </c>
      <c r="L37" s="392">
        <f>výdavky!H291</f>
        <v>0</v>
      </c>
    </row>
    <row r="38" spans="1:12" ht="12.75">
      <c r="A38" s="343">
        <v>32</v>
      </c>
      <c r="B38" s="664"/>
      <c r="C38" s="418" t="s">
        <v>249</v>
      </c>
      <c r="D38" s="437" t="s">
        <v>290</v>
      </c>
      <c r="E38" s="394" t="s">
        <v>250</v>
      </c>
      <c r="F38" s="405"/>
      <c r="G38" s="406"/>
      <c r="H38" s="397">
        <f>výdavky!D294</f>
        <v>700</v>
      </c>
      <c r="I38" s="397">
        <f>výdavky!E294</f>
        <v>25.31</v>
      </c>
      <c r="J38" s="511">
        <f>výdavky!F294</f>
        <v>700</v>
      </c>
      <c r="K38" s="397">
        <f>výdavky!G294</f>
        <v>700</v>
      </c>
      <c r="L38" s="397">
        <f>výdavky!H294</f>
        <v>0</v>
      </c>
    </row>
    <row r="39" spans="1:12" ht="12.75">
      <c r="A39" s="343">
        <f aca="true" t="shared" si="6" ref="A39:A47">A38+1</f>
        <v>33</v>
      </c>
      <c r="B39" s="664"/>
      <c r="C39" s="418" t="s">
        <v>251</v>
      </c>
      <c r="D39" s="432" t="s">
        <v>320</v>
      </c>
      <c r="E39" s="460" t="s">
        <v>334</v>
      </c>
      <c r="F39" s="433"/>
      <c r="G39" s="439"/>
      <c r="H39" s="392">
        <f>výdavky!D296</f>
        <v>2500</v>
      </c>
      <c r="I39" s="392">
        <f>výdavky!E296</f>
        <v>12.6</v>
      </c>
      <c r="J39" s="532">
        <f>výdavky!F296</f>
        <v>500</v>
      </c>
      <c r="K39" s="392">
        <f>výdavky!G296</f>
        <v>500</v>
      </c>
      <c r="L39" s="392">
        <f>výdavky!H296</f>
        <v>0</v>
      </c>
    </row>
    <row r="40" spans="1:12" ht="12.75">
      <c r="A40" s="343">
        <f t="shared" si="6"/>
        <v>34</v>
      </c>
      <c r="B40" s="664"/>
      <c r="C40" s="418" t="s">
        <v>255</v>
      </c>
      <c r="D40" s="437" t="s">
        <v>322</v>
      </c>
      <c r="E40" s="394" t="s">
        <v>256</v>
      </c>
      <c r="F40" s="405"/>
      <c r="G40" s="406"/>
      <c r="H40" s="397">
        <f>SUM(výdavky!D298,výdavky!D299)</f>
        <v>1100</v>
      </c>
      <c r="I40" s="397">
        <f>SUM(výdavky!E298,výdavky!E299)</f>
        <v>206</v>
      </c>
      <c r="J40" s="511">
        <f>výdavky!F299+výdavky!F298</f>
        <v>900</v>
      </c>
      <c r="K40" s="397">
        <f>výdavky!G299</f>
        <v>750</v>
      </c>
      <c r="L40" s="397">
        <f>výdavky!H299</f>
        <v>0</v>
      </c>
    </row>
    <row r="41" spans="1:12" ht="12.75">
      <c r="A41" s="343">
        <f t="shared" si="6"/>
        <v>35</v>
      </c>
      <c r="B41" s="664"/>
      <c r="C41" s="418" t="s">
        <v>255</v>
      </c>
      <c r="D41" s="437" t="s">
        <v>324</v>
      </c>
      <c r="E41" s="394" t="s">
        <v>416</v>
      </c>
      <c r="F41" s="405"/>
      <c r="G41" s="406"/>
      <c r="H41" s="397">
        <f>výdavky!D302</f>
        <v>0</v>
      </c>
      <c r="I41" s="397">
        <f>výdavky!E302</f>
        <v>0</v>
      </c>
      <c r="J41" s="511">
        <f>výdavky!F302</f>
        <v>0</v>
      </c>
      <c r="K41" s="397">
        <f>výdavky!G301</f>
        <v>275</v>
      </c>
      <c r="L41" s="397">
        <f>výdavky!H302</f>
        <v>0</v>
      </c>
    </row>
    <row r="42" spans="1:12" ht="12.75">
      <c r="A42" s="343">
        <f t="shared" si="6"/>
        <v>36</v>
      </c>
      <c r="B42" s="412"/>
      <c r="C42" s="436"/>
      <c r="D42" s="348" t="s">
        <v>232</v>
      </c>
      <c r="E42" s="404"/>
      <c r="F42" s="376"/>
      <c r="G42" s="613">
        <f aca="true" t="shared" si="7" ref="G42:L42">G43</f>
        <v>995.8</v>
      </c>
      <c r="H42" s="579">
        <f t="shared" si="7"/>
        <v>0</v>
      </c>
      <c r="I42" s="579">
        <f t="shared" si="7"/>
        <v>0</v>
      </c>
      <c r="J42" s="662">
        <f t="shared" si="7"/>
        <v>30000</v>
      </c>
      <c r="K42" s="579">
        <f t="shared" si="7"/>
        <v>30000</v>
      </c>
      <c r="L42" s="579">
        <f t="shared" si="7"/>
        <v>0</v>
      </c>
    </row>
    <row r="43" spans="1:12" ht="12.75">
      <c r="A43" s="343">
        <f t="shared" si="6"/>
        <v>37</v>
      </c>
      <c r="B43" s="407"/>
      <c r="C43" s="438" t="s">
        <v>348</v>
      </c>
      <c r="D43" s="437" t="s">
        <v>328</v>
      </c>
      <c r="E43" s="533" t="s">
        <v>417</v>
      </c>
      <c r="F43" s="405"/>
      <c r="G43" s="406">
        <f>ROUND(K43/30.126,1)</f>
        <v>995.8</v>
      </c>
      <c r="H43" s="397">
        <v>0</v>
      </c>
      <c r="I43" s="397">
        <v>0</v>
      </c>
      <c r="J43" s="511">
        <f>SUM(výdavky!F447)</f>
        <v>30000</v>
      </c>
      <c r="K43" s="397">
        <f>výdavky!G448</f>
        <v>30000</v>
      </c>
      <c r="L43" s="397">
        <v>0</v>
      </c>
    </row>
    <row r="44" spans="1:12" ht="12.75">
      <c r="A44" s="343">
        <f t="shared" si="6"/>
        <v>38</v>
      </c>
      <c r="B44" s="407"/>
      <c r="C44" s="366" t="s">
        <v>259</v>
      </c>
      <c r="D44" s="367" t="s">
        <v>418</v>
      </c>
      <c r="E44" s="368"/>
      <c r="F44" s="369"/>
      <c r="G44" s="370">
        <f>F93</f>
        <v>0</v>
      </c>
      <c r="H44" s="371">
        <f aca="true" t="shared" si="8" ref="H44:L46">H45</f>
        <v>800</v>
      </c>
      <c r="I44" s="371">
        <f t="shared" si="8"/>
        <v>240.36</v>
      </c>
      <c r="J44" s="663">
        <f t="shared" si="8"/>
        <v>600</v>
      </c>
      <c r="K44" s="371">
        <f t="shared" si="8"/>
        <v>500</v>
      </c>
      <c r="L44" s="371">
        <f t="shared" si="8"/>
        <v>0</v>
      </c>
    </row>
    <row r="45" spans="1:12" ht="12.75">
      <c r="A45" s="343">
        <f t="shared" si="6"/>
        <v>39</v>
      </c>
      <c r="B45" s="373"/>
      <c r="C45" s="374"/>
      <c r="D45" s="348" t="s">
        <v>230</v>
      </c>
      <c r="E45" s="375"/>
      <c r="F45" s="376"/>
      <c r="G45" s="377">
        <f>G46+G69</f>
        <v>2653.9000000000005</v>
      </c>
      <c r="H45" s="378">
        <f t="shared" si="8"/>
        <v>800</v>
      </c>
      <c r="I45" s="378">
        <f t="shared" si="8"/>
        <v>240.36</v>
      </c>
      <c r="J45" s="504">
        <f t="shared" si="8"/>
        <v>600</v>
      </c>
      <c r="K45" s="378">
        <f t="shared" si="8"/>
        <v>500</v>
      </c>
      <c r="L45" s="378">
        <f t="shared" si="8"/>
        <v>0</v>
      </c>
    </row>
    <row r="46" spans="1:12" ht="12.75">
      <c r="A46" s="343">
        <f t="shared" si="6"/>
        <v>40</v>
      </c>
      <c r="B46" s="407"/>
      <c r="C46" s="459" t="s">
        <v>419</v>
      </c>
      <c r="D46" s="381" t="s">
        <v>420</v>
      </c>
      <c r="E46" s="382"/>
      <c r="F46" s="383"/>
      <c r="G46" s="417">
        <f>SUM(G47:G65)</f>
        <v>2640.6000000000004</v>
      </c>
      <c r="H46" s="385">
        <f t="shared" si="8"/>
        <v>800</v>
      </c>
      <c r="I46" s="385">
        <f t="shared" si="8"/>
        <v>240.36</v>
      </c>
      <c r="J46" s="530">
        <f t="shared" si="8"/>
        <v>600</v>
      </c>
      <c r="K46" s="385">
        <f t="shared" si="8"/>
        <v>500</v>
      </c>
      <c r="L46" s="385">
        <f t="shared" si="8"/>
        <v>0</v>
      </c>
    </row>
    <row r="47" spans="1:12" ht="12.75">
      <c r="A47" s="343">
        <f t="shared" si="6"/>
        <v>41</v>
      </c>
      <c r="B47" s="407"/>
      <c r="C47" s="438" t="s">
        <v>277</v>
      </c>
      <c r="D47" s="437" t="s">
        <v>426</v>
      </c>
      <c r="E47" s="533" t="s">
        <v>421</v>
      </c>
      <c r="F47" s="405"/>
      <c r="G47" s="406"/>
      <c r="H47" s="397">
        <f>výdavky!D305</f>
        <v>800</v>
      </c>
      <c r="I47" s="397">
        <f>výdavky!E305</f>
        <v>240.36</v>
      </c>
      <c r="J47" s="511">
        <f>výdavky!F305</f>
        <v>600</v>
      </c>
      <c r="K47" s="397">
        <f>výdavky!G305</f>
        <v>500</v>
      </c>
      <c r="L47" s="397">
        <f>výdavky!H305</f>
        <v>0</v>
      </c>
    </row>
    <row r="48" spans="1:12" ht="12.75">
      <c r="A48" s="343">
        <v>40</v>
      </c>
      <c r="B48" s="407"/>
      <c r="C48" s="668" t="s">
        <v>422</v>
      </c>
      <c r="D48" s="1267" t="s">
        <v>423</v>
      </c>
      <c r="E48" s="1267"/>
      <c r="F48" s="669"/>
      <c r="G48" s="670"/>
      <c r="H48" s="371">
        <f aca="true" t="shared" si="9" ref="H48:L50">SUM(H49)</f>
        <v>1200</v>
      </c>
      <c r="I48" s="371">
        <f t="shared" si="9"/>
        <v>1483.89</v>
      </c>
      <c r="J48" s="663">
        <f t="shared" si="9"/>
        <v>2000</v>
      </c>
      <c r="K48" s="371">
        <f t="shared" si="9"/>
        <v>1650</v>
      </c>
      <c r="L48" s="371">
        <f t="shared" si="9"/>
        <v>0</v>
      </c>
    </row>
    <row r="49" spans="1:12" ht="12.75">
      <c r="A49" s="343">
        <v>41</v>
      </c>
      <c r="B49" s="407"/>
      <c r="C49" s="436"/>
      <c r="D49" s="1268" t="s">
        <v>230</v>
      </c>
      <c r="E49" s="1268"/>
      <c r="F49" s="577"/>
      <c r="G49" s="578"/>
      <c r="H49" s="671">
        <f t="shared" si="9"/>
        <v>1200</v>
      </c>
      <c r="I49" s="671">
        <f t="shared" si="9"/>
        <v>1483.89</v>
      </c>
      <c r="J49" s="672">
        <f t="shared" si="9"/>
        <v>2000</v>
      </c>
      <c r="K49" s="671">
        <f t="shared" si="9"/>
        <v>1650</v>
      </c>
      <c r="L49" s="671">
        <f t="shared" si="9"/>
        <v>0</v>
      </c>
    </row>
    <row r="50" spans="1:12" s="584" customFormat="1" ht="12.75">
      <c r="A50" s="343">
        <v>42</v>
      </c>
      <c r="B50" s="673"/>
      <c r="C50" s="612" t="s">
        <v>424</v>
      </c>
      <c r="D50" s="1266" t="s">
        <v>425</v>
      </c>
      <c r="E50" s="1266"/>
      <c r="F50" s="416"/>
      <c r="G50" s="417"/>
      <c r="H50" s="385">
        <f t="shared" si="9"/>
        <v>1200</v>
      </c>
      <c r="I50" s="385">
        <f t="shared" si="9"/>
        <v>1483.89</v>
      </c>
      <c r="J50" s="530">
        <f t="shared" si="9"/>
        <v>2000</v>
      </c>
      <c r="K50" s="385">
        <f t="shared" si="9"/>
        <v>1650</v>
      </c>
      <c r="L50" s="385">
        <f t="shared" si="9"/>
        <v>0</v>
      </c>
    </row>
    <row r="51" spans="1:12" ht="12.75">
      <c r="A51" s="343">
        <v>43</v>
      </c>
      <c r="B51" s="407"/>
      <c r="C51" s="436" t="s">
        <v>255</v>
      </c>
      <c r="D51" s="674" t="s">
        <v>775</v>
      </c>
      <c r="E51" s="533" t="s">
        <v>427</v>
      </c>
      <c r="F51" s="405"/>
      <c r="G51" s="406"/>
      <c r="H51" s="397">
        <f>výdavky!D314</f>
        <v>1200</v>
      </c>
      <c r="I51" s="397">
        <f>výdavky!E314</f>
        <v>1483.89</v>
      </c>
      <c r="J51" s="511">
        <f>výdavky!F314</f>
        <v>2000</v>
      </c>
      <c r="K51" s="397">
        <f>výdavky!G314</f>
        <v>1650</v>
      </c>
      <c r="L51" s="397">
        <f>výdavky!H314</f>
        <v>0</v>
      </c>
    </row>
    <row r="52" spans="1:12" ht="12.75">
      <c r="A52" s="343">
        <v>44</v>
      </c>
      <c r="B52" s="358">
        <v>4</v>
      </c>
      <c r="C52" s="461" t="s">
        <v>428</v>
      </c>
      <c r="D52" s="360"/>
      <c r="E52" s="360"/>
      <c r="F52" s="361"/>
      <c r="G52" s="362">
        <f>SUM(G54)</f>
        <v>659.7</v>
      </c>
      <c r="H52" s="364">
        <f>SUM(H53+H58)</f>
        <v>5000</v>
      </c>
      <c r="I52" s="364">
        <f>SUM(I53+I58)</f>
        <v>0</v>
      </c>
      <c r="J52" s="502">
        <f>SUM(J53+J58)</f>
        <v>3000</v>
      </c>
      <c r="K52" s="364">
        <f>SUM(K53+K58)</f>
        <v>7500</v>
      </c>
      <c r="L52" s="364">
        <f>SUM(L53+L58)</f>
        <v>0</v>
      </c>
    </row>
    <row r="53" spans="1:12" ht="12.75">
      <c r="A53" s="343">
        <f>A52+1</f>
        <v>45</v>
      </c>
      <c r="B53" s="373"/>
      <c r="C53" s="374"/>
      <c r="D53" s="348" t="s">
        <v>230</v>
      </c>
      <c r="E53" s="375"/>
      <c r="F53" s="376"/>
      <c r="G53" s="377">
        <f aca="true" t="shared" si="10" ref="G53:L53">G54</f>
        <v>659.7</v>
      </c>
      <c r="H53" s="378">
        <f t="shared" si="10"/>
        <v>5000</v>
      </c>
      <c r="I53" s="378">
        <f t="shared" si="10"/>
        <v>0</v>
      </c>
      <c r="J53" s="504">
        <f t="shared" si="10"/>
        <v>3000</v>
      </c>
      <c r="K53" s="378">
        <f t="shared" si="10"/>
        <v>7500</v>
      </c>
      <c r="L53" s="378">
        <f t="shared" si="10"/>
        <v>0</v>
      </c>
    </row>
    <row r="54" spans="1:12" ht="12.75">
      <c r="A54" s="343">
        <f>A53+1</f>
        <v>46</v>
      </c>
      <c r="B54" s="407"/>
      <c r="C54" s="529" t="s">
        <v>411</v>
      </c>
      <c r="D54" s="381" t="s">
        <v>410</v>
      </c>
      <c r="E54" s="382"/>
      <c r="F54" s="383"/>
      <c r="G54" s="417">
        <f aca="true" t="shared" si="11" ref="G54:L54">SUM(G55:G57)</f>
        <v>659.7</v>
      </c>
      <c r="H54" s="385">
        <f t="shared" si="11"/>
        <v>5000</v>
      </c>
      <c r="I54" s="385">
        <f t="shared" si="11"/>
        <v>0</v>
      </c>
      <c r="J54" s="385">
        <f t="shared" si="11"/>
        <v>3000</v>
      </c>
      <c r="K54" s="385">
        <f t="shared" si="11"/>
        <v>7500</v>
      </c>
      <c r="L54" s="385">
        <f t="shared" si="11"/>
        <v>0</v>
      </c>
    </row>
    <row r="55" spans="1:12" ht="12.75">
      <c r="A55" s="343">
        <f>A54+1</f>
        <v>47</v>
      </c>
      <c r="B55" s="407"/>
      <c r="C55" s="438" t="s">
        <v>429</v>
      </c>
      <c r="D55" s="437" t="s">
        <v>266</v>
      </c>
      <c r="E55" s="398" t="s">
        <v>430</v>
      </c>
      <c r="F55" s="405"/>
      <c r="G55" s="661">
        <f>ROUND(K55/30.126,1)</f>
        <v>33.2</v>
      </c>
      <c r="H55" s="455">
        <f>výdavky!D293</f>
        <v>3000</v>
      </c>
      <c r="I55" s="455">
        <f>výdavky!E293</f>
        <v>0</v>
      </c>
      <c r="J55" s="511">
        <f>výdavky!F293</f>
        <v>1000</v>
      </c>
      <c r="K55" s="455">
        <f>výdavky!G293</f>
        <v>1000</v>
      </c>
      <c r="L55" s="455">
        <f>výdavky!H293</f>
        <v>0</v>
      </c>
    </row>
    <row r="56" spans="1:12" ht="12.75">
      <c r="A56" s="343">
        <f>A55+1</f>
        <v>48</v>
      </c>
      <c r="B56" s="407"/>
      <c r="C56" s="438" t="s">
        <v>429</v>
      </c>
      <c r="D56" s="437" t="s">
        <v>268</v>
      </c>
      <c r="E56" s="398" t="s">
        <v>431</v>
      </c>
      <c r="F56" s="405"/>
      <c r="G56" s="661">
        <f>ROUND(K56/30.126,1)</f>
        <v>215.8</v>
      </c>
      <c r="H56" s="455">
        <f>výdavky!D300</f>
        <v>2000</v>
      </c>
      <c r="I56" s="455">
        <f>výdavky!E300</f>
        <v>0</v>
      </c>
      <c r="J56" s="511">
        <f>výdavky!F300</f>
        <v>2000</v>
      </c>
      <c r="K56" s="455">
        <f>výdavky!G292+výdavky!G300</f>
        <v>6500</v>
      </c>
      <c r="L56" s="455">
        <f>výdavky!H300</f>
        <v>0</v>
      </c>
    </row>
    <row r="57" spans="1:12" ht="12.75">
      <c r="A57" s="343">
        <f>A56+1</f>
        <v>49</v>
      </c>
      <c r="B57" s="407"/>
      <c r="C57" s="436"/>
      <c r="D57" s="437"/>
      <c r="E57" s="398"/>
      <c r="F57" s="405"/>
      <c r="G57" s="661">
        <f>397.4+13.3</f>
        <v>410.7</v>
      </c>
      <c r="H57" s="455">
        <v>0</v>
      </c>
      <c r="I57" s="455">
        <v>0</v>
      </c>
      <c r="J57" s="511">
        <v>0</v>
      </c>
      <c r="K57" s="455">
        <v>0</v>
      </c>
      <c r="L57" s="455">
        <v>0</v>
      </c>
    </row>
    <row r="58" spans="1:12" ht="12.75">
      <c r="A58" s="343">
        <v>48</v>
      </c>
      <c r="B58" s="412"/>
      <c r="C58" s="436"/>
      <c r="D58" s="348" t="s">
        <v>232</v>
      </c>
      <c r="E58" s="404"/>
      <c r="F58" s="376"/>
      <c r="G58" s="613">
        <f aca="true" t="shared" si="12" ref="G58:L58">G59</f>
        <v>0</v>
      </c>
      <c r="H58" s="579">
        <f t="shared" si="12"/>
        <v>0</v>
      </c>
      <c r="I58" s="579">
        <f t="shared" si="12"/>
        <v>0</v>
      </c>
      <c r="J58" s="662">
        <f t="shared" si="12"/>
        <v>0</v>
      </c>
      <c r="K58" s="579">
        <f t="shared" si="12"/>
        <v>0</v>
      </c>
      <c r="L58" s="579">
        <f t="shared" si="12"/>
        <v>0</v>
      </c>
    </row>
    <row r="59" spans="1:12" ht="12.75">
      <c r="A59" s="343">
        <f>A58+1</f>
        <v>49</v>
      </c>
      <c r="B59" s="407"/>
      <c r="C59" s="529" t="s">
        <v>424</v>
      </c>
      <c r="D59" s="381" t="s">
        <v>425</v>
      </c>
      <c r="E59" s="382"/>
      <c r="F59" s="383"/>
      <c r="G59" s="417">
        <f aca="true" t="shared" si="13" ref="G59:L59">SUM(G60:G60)</f>
        <v>0</v>
      </c>
      <c r="H59" s="385">
        <f t="shared" si="13"/>
        <v>0</v>
      </c>
      <c r="I59" s="385">
        <f t="shared" si="13"/>
        <v>0</v>
      </c>
      <c r="J59" s="530">
        <f t="shared" si="13"/>
        <v>0</v>
      </c>
      <c r="K59" s="385">
        <f t="shared" si="13"/>
        <v>0</v>
      </c>
      <c r="L59" s="385">
        <f t="shared" si="13"/>
        <v>0</v>
      </c>
    </row>
    <row r="60" spans="1:12" ht="12.75">
      <c r="A60" s="343">
        <f>A59+1</f>
        <v>50</v>
      </c>
      <c r="B60" s="407"/>
      <c r="C60" s="438" t="s">
        <v>348</v>
      </c>
      <c r="D60" s="437" t="s">
        <v>287</v>
      </c>
      <c r="E60" s="398"/>
      <c r="F60" s="405"/>
      <c r="G60" s="406"/>
      <c r="H60" s="397">
        <v>0</v>
      </c>
      <c r="I60" s="397">
        <v>0</v>
      </c>
      <c r="J60" s="511">
        <v>0</v>
      </c>
      <c r="K60" s="397">
        <v>0</v>
      </c>
      <c r="L60" s="397">
        <v>0</v>
      </c>
    </row>
    <row r="61" spans="1:12" ht="12.75">
      <c r="A61" s="343">
        <v>51</v>
      </c>
      <c r="B61" s="358">
        <v>5</v>
      </c>
      <c r="C61" s="461" t="s">
        <v>432</v>
      </c>
      <c r="D61" s="360"/>
      <c r="E61" s="360"/>
      <c r="F61" s="361"/>
      <c r="G61" s="362">
        <f>SUM(G64)</f>
        <v>0</v>
      </c>
      <c r="H61" s="364">
        <f>H63</f>
        <v>0</v>
      </c>
      <c r="I61" s="364">
        <f>I63</f>
        <v>0</v>
      </c>
      <c r="J61" s="502">
        <f>J63</f>
        <v>0</v>
      </c>
      <c r="K61" s="364">
        <f>K63</f>
        <v>0</v>
      </c>
      <c r="L61" s="364">
        <f>L63</f>
        <v>0</v>
      </c>
    </row>
    <row r="62" spans="1:12" ht="12.75">
      <c r="A62" s="343">
        <f aca="true" t="shared" si="14" ref="A62:A70">A61+1</f>
        <v>52</v>
      </c>
      <c r="B62" s="373"/>
      <c r="C62" s="374"/>
      <c r="D62" s="348" t="s">
        <v>230</v>
      </c>
      <c r="E62" s="375"/>
      <c r="F62" s="376"/>
      <c r="G62" s="377">
        <f aca="true" t="shared" si="15" ref="G62:L62">G63</f>
        <v>0</v>
      </c>
      <c r="H62" s="378">
        <f t="shared" si="15"/>
        <v>0</v>
      </c>
      <c r="I62" s="378">
        <f t="shared" si="15"/>
        <v>0</v>
      </c>
      <c r="J62" s="504">
        <f t="shared" si="15"/>
        <v>0</v>
      </c>
      <c r="K62" s="378">
        <f t="shared" si="15"/>
        <v>0</v>
      </c>
      <c r="L62" s="378">
        <f t="shared" si="15"/>
        <v>0</v>
      </c>
    </row>
    <row r="63" spans="1:12" ht="12" customHeight="1">
      <c r="A63" s="343">
        <f t="shared" si="14"/>
        <v>53</v>
      </c>
      <c r="B63" s="412"/>
      <c r="C63" s="529" t="s">
        <v>433</v>
      </c>
      <c r="D63" s="381" t="s">
        <v>434</v>
      </c>
      <c r="E63" s="382"/>
      <c r="F63" s="383"/>
      <c r="G63" s="417">
        <f>SUM(G64:G64)</f>
        <v>0</v>
      </c>
      <c r="H63" s="385">
        <f>SUM(H64:H65)</f>
        <v>0</v>
      </c>
      <c r="I63" s="385">
        <f>SUM(I64:I65)</f>
        <v>0</v>
      </c>
      <c r="J63" s="385">
        <f>SUM(J64:J65)</f>
        <v>0</v>
      </c>
      <c r="K63" s="385">
        <f>SUM(K64:K65)</f>
        <v>0</v>
      </c>
      <c r="L63" s="385">
        <f>SUM(L64:L65)</f>
        <v>0</v>
      </c>
    </row>
    <row r="64" spans="1:12" ht="12.75">
      <c r="A64" s="343">
        <f t="shared" si="14"/>
        <v>54</v>
      </c>
      <c r="B64" s="412"/>
      <c r="C64" s="438" t="s">
        <v>429</v>
      </c>
      <c r="D64" s="437" t="s">
        <v>266</v>
      </c>
      <c r="E64" s="394" t="s">
        <v>435</v>
      </c>
      <c r="F64" s="425"/>
      <c r="G64" s="406">
        <f>ROUND(K64/30.126,1)</f>
        <v>0</v>
      </c>
      <c r="H64" s="397">
        <v>0</v>
      </c>
      <c r="I64" s="397">
        <v>0</v>
      </c>
      <c r="J64" s="511">
        <v>0</v>
      </c>
      <c r="K64" s="397">
        <v>0</v>
      </c>
      <c r="L64" s="397">
        <v>0</v>
      </c>
    </row>
    <row r="65" spans="1:12" ht="12.75">
      <c r="A65" s="343">
        <f t="shared" si="14"/>
        <v>55</v>
      </c>
      <c r="B65" s="407"/>
      <c r="C65" s="438" t="s">
        <v>429</v>
      </c>
      <c r="D65" s="437" t="s">
        <v>268</v>
      </c>
      <c r="E65" s="394" t="s">
        <v>436</v>
      </c>
      <c r="F65" s="425"/>
      <c r="G65" s="406">
        <v>1.8</v>
      </c>
      <c r="H65" s="397">
        <f>výdavky!D319</f>
        <v>0</v>
      </c>
      <c r="I65" s="397">
        <f>výdavky!E319</f>
        <v>0</v>
      </c>
      <c r="J65" s="511">
        <f>výdavky!F319</f>
        <v>0</v>
      </c>
      <c r="K65" s="397">
        <v>0</v>
      </c>
      <c r="L65" s="397">
        <f>výdavky!H319</f>
        <v>0</v>
      </c>
    </row>
    <row r="66" spans="1:12" s="307" customFormat="1" ht="12.75">
      <c r="A66" s="343">
        <f t="shared" si="14"/>
        <v>56</v>
      </c>
      <c r="B66" s="456">
        <v>6</v>
      </c>
      <c r="C66" s="457" t="s">
        <v>437</v>
      </c>
      <c r="D66" s="360"/>
      <c r="E66" s="360"/>
      <c r="F66" s="361"/>
      <c r="G66" s="362">
        <f>G68+F71</f>
        <v>41.2</v>
      </c>
      <c r="H66" s="364">
        <f aca="true" t="shared" si="16" ref="H66:L67">H67</f>
        <v>4750</v>
      </c>
      <c r="I66" s="364">
        <f t="shared" si="16"/>
        <v>706.92</v>
      </c>
      <c r="J66" s="502">
        <f t="shared" si="16"/>
        <v>2000</v>
      </c>
      <c r="K66" s="364">
        <f t="shared" si="16"/>
        <v>1240</v>
      </c>
      <c r="L66" s="364">
        <f t="shared" si="16"/>
        <v>0</v>
      </c>
    </row>
    <row r="67" spans="1:12" ht="12.75">
      <c r="A67" s="343">
        <f t="shared" si="14"/>
        <v>57</v>
      </c>
      <c r="B67" s="458"/>
      <c r="C67" s="448"/>
      <c r="D67" s="347" t="s">
        <v>230</v>
      </c>
      <c r="E67" s="375"/>
      <c r="F67" s="376"/>
      <c r="G67" s="377">
        <f>G68+F71</f>
        <v>41.2</v>
      </c>
      <c r="H67" s="378">
        <f t="shared" si="16"/>
        <v>4750</v>
      </c>
      <c r="I67" s="378">
        <f t="shared" si="16"/>
        <v>706.92</v>
      </c>
      <c r="J67" s="504">
        <f t="shared" si="16"/>
        <v>2000</v>
      </c>
      <c r="K67" s="378">
        <f t="shared" si="16"/>
        <v>1240</v>
      </c>
      <c r="L67" s="378">
        <f t="shared" si="16"/>
        <v>0</v>
      </c>
    </row>
    <row r="68" spans="1:12" ht="12.75">
      <c r="A68" s="343">
        <f t="shared" si="14"/>
        <v>58</v>
      </c>
      <c r="B68" s="379"/>
      <c r="C68" s="529" t="s">
        <v>433</v>
      </c>
      <c r="D68" s="415" t="s">
        <v>434</v>
      </c>
      <c r="E68" s="382"/>
      <c r="F68" s="383"/>
      <c r="G68" s="417">
        <f aca="true" t="shared" si="17" ref="G68:L68">SUM(G69:G70)</f>
        <v>41.2</v>
      </c>
      <c r="H68" s="385">
        <f t="shared" si="17"/>
        <v>4750</v>
      </c>
      <c r="I68" s="385">
        <f t="shared" si="17"/>
        <v>706.92</v>
      </c>
      <c r="J68" s="385">
        <f t="shared" si="17"/>
        <v>2000</v>
      </c>
      <c r="K68" s="385">
        <f t="shared" si="17"/>
        <v>1240</v>
      </c>
      <c r="L68" s="385">
        <f t="shared" si="17"/>
        <v>0</v>
      </c>
    </row>
    <row r="69" spans="1:12" ht="12.75">
      <c r="A69" s="343">
        <f t="shared" si="14"/>
        <v>59</v>
      </c>
      <c r="B69" s="379"/>
      <c r="C69" s="438" t="s">
        <v>245</v>
      </c>
      <c r="D69" s="437" t="s">
        <v>266</v>
      </c>
      <c r="E69" s="398" t="s">
        <v>402</v>
      </c>
      <c r="F69" s="405"/>
      <c r="G69" s="406">
        <f>ROUND(K69/30.126,1)</f>
        <v>13.3</v>
      </c>
      <c r="H69" s="397">
        <f>výdavky!D317</f>
        <v>1000</v>
      </c>
      <c r="I69" s="397">
        <f>výdavky!E317</f>
        <v>186.92</v>
      </c>
      <c r="J69" s="511">
        <f>výdavky!F317</f>
        <v>500</v>
      </c>
      <c r="K69" s="397">
        <f>výdavky!G317</f>
        <v>400</v>
      </c>
      <c r="L69" s="397">
        <f>výdavky!H317</f>
        <v>0</v>
      </c>
    </row>
    <row r="70" spans="1:12" ht="12.75">
      <c r="A70" s="468">
        <f t="shared" si="14"/>
        <v>60</v>
      </c>
      <c r="B70" s="558"/>
      <c r="C70" s="593" t="s">
        <v>251</v>
      </c>
      <c r="D70" s="514" t="s">
        <v>268</v>
      </c>
      <c r="E70" s="594" t="s">
        <v>437</v>
      </c>
      <c r="F70" s="595"/>
      <c r="G70" s="596">
        <f>ROUND(K70/30.126,1)</f>
        <v>27.9</v>
      </c>
      <c r="H70" s="519">
        <f>výdavky!D318</f>
        <v>3750</v>
      </c>
      <c r="I70" s="519">
        <f>výdavky!E318</f>
        <v>520</v>
      </c>
      <c r="J70" s="518">
        <f>výdavky!F318</f>
        <v>1500</v>
      </c>
      <c r="K70" s="519">
        <f>výdavky!G318</f>
        <v>840</v>
      </c>
      <c r="L70" s="519">
        <f>výdavky!H318</f>
        <v>0</v>
      </c>
    </row>
    <row r="71" spans="1:12" ht="12.75">
      <c r="A71" s="1"/>
      <c r="B71"/>
      <c r="D71" s="675"/>
      <c r="L71" s="676"/>
    </row>
    <row r="72" spans="1:12" ht="12.75">
      <c r="A72" s="1"/>
      <c r="B72"/>
      <c r="L72" s="676"/>
    </row>
    <row r="73" spans="1:12" ht="12.75">
      <c r="A73" s="1"/>
      <c r="B73"/>
      <c r="L73" s="676"/>
    </row>
    <row r="74" spans="1:12" ht="12.75">
      <c r="A74" s="1"/>
      <c r="B74"/>
      <c r="L74" s="676"/>
    </row>
    <row r="75" spans="1:12" ht="12.75">
      <c r="A75" s="1"/>
      <c r="B75"/>
      <c r="L75" s="676"/>
    </row>
    <row r="76" spans="1:12" ht="12.75">
      <c r="A76" s="1"/>
      <c r="B76"/>
      <c r="L76" s="676"/>
    </row>
    <row r="77" spans="1:12" ht="12.75">
      <c r="A77" s="1"/>
      <c r="B77"/>
      <c r="L77" s="676"/>
    </row>
    <row r="78" spans="1:12" ht="12.75">
      <c r="A78" s="1"/>
      <c r="B78"/>
      <c r="L78" s="676"/>
    </row>
    <row r="79" spans="1:12" ht="12.75">
      <c r="A79" s="1"/>
      <c r="B79"/>
      <c r="L79" s="676"/>
    </row>
    <row r="80" spans="1:12" ht="12.75">
      <c r="A80" s="1"/>
      <c r="B80"/>
      <c r="L80" s="676"/>
    </row>
    <row r="81" spans="1:12" ht="12.75">
      <c r="A81" s="1"/>
      <c r="B81"/>
      <c r="L81" s="676"/>
    </row>
    <row r="82" spans="1:12" ht="12.75">
      <c r="A82" s="1"/>
      <c r="B82"/>
      <c r="L82" s="676"/>
    </row>
    <row r="83" spans="1:12" ht="12.75">
      <c r="A83" s="1"/>
      <c r="B83"/>
      <c r="L83" s="676"/>
    </row>
    <row r="84" spans="1:12" ht="12.75">
      <c r="A84" s="1"/>
      <c r="B84"/>
      <c r="L84" s="676"/>
    </row>
    <row r="85" spans="1:12" ht="12.75">
      <c r="A85" s="1"/>
      <c r="B85"/>
      <c r="L85" s="676"/>
    </row>
    <row r="86" spans="1:12" ht="12.75">
      <c r="A86" s="1"/>
      <c r="B86"/>
      <c r="L86" s="676"/>
    </row>
    <row r="87" spans="1:12" ht="12.75">
      <c r="A87" s="1"/>
      <c r="B87"/>
      <c r="L87" s="676"/>
    </row>
    <row r="88" spans="1:12" ht="12.75">
      <c r="A88" s="1"/>
      <c r="B88"/>
      <c r="L88" s="676"/>
    </row>
    <row r="89" spans="1:12" ht="12.75">
      <c r="A89" s="1"/>
      <c r="B89"/>
      <c r="L89" s="676"/>
    </row>
    <row r="90" spans="1:12" ht="12.75">
      <c r="A90" s="1"/>
      <c r="B90"/>
      <c r="L90" s="676"/>
    </row>
    <row r="91" spans="1:12" ht="12.75">
      <c r="A91" s="1"/>
      <c r="B91"/>
      <c r="L91" s="676"/>
    </row>
    <row r="92" spans="1:12" ht="12.75">
      <c r="A92" s="1"/>
      <c r="B92"/>
      <c r="L92" s="676"/>
    </row>
    <row r="93" spans="1:12" ht="12.75">
      <c r="A93" s="1"/>
      <c r="B93"/>
      <c r="L93" s="676"/>
    </row>
    <row r="94" spans="1:12" ht="12.75">
      <c r="A94" s="1"/>
      <c r="B94"/>
      <c r="L94" s="676"/>
    </row>
    <row r="95" spans="1:12" ht="12.75">
      <c r="A95" s="1"/>
      <c r="B95"/>
      <c r="L95" s="676"/>
    </row>
    <row r="96" spans="1:12" ht="12.75">
      <c r="A96" s="1"/>
      <c r="B96"/>
      <c r="L96" s="676"/>
    </row>
    <row r="97" spans="1:12" ht="12.75">
      <c r="A97" s="1"/>
      <c r="B97"/>
      <c r="L97" s="676"/>
    </row>
    <row r="98" spans="1:12" ht="12.75">
      <c r="A98" s="1"/>
      <c r="B98"/>
      <c r="L98" s="676"/>
    </row>
    <row r="99" spans="1:12" ht="12.75">
      <c r="A99" s="1"/>
      <c r="B99"/>
      <c r="L99" s="676"/>
    </row>
    <row r="100" spans="1:12" ht="12.75">
      <c r="A100" s="1"/>
      <c r="B100"/>
      <c r="L100" s="676"/>
    </row>
    <row r="101" spans="1:12" ht="12.75">
      <c r="A101" s="1"/>
      <c r="B101"/>
      <c r="L101" s="676"/>
    </row>
    <row r="102" spans="1:12" ht="12.75">
      <c r="A102" s="1"/>
      <c r="B102"/>
      <c r="L102" s="676"/>
    </row>
  </sheetData>
  <sheetProtection/>
  <mergeCells count="5">
    <mergeCell ref="D50:E50"/>
    <mergeCell ref="G3:L3"/>
    <mergeCell ref="D4:F6"/>
    <mergeCell ref="D48:E48"/>
    <mergeCell ref="D49:E49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7">
      <selection activeCell="A38" sqref="A38"/>
    </sheetView>
  </sheetViews>
  <sheetFormatPr defaultColWidth="9.140625" defaultRowHeight="12.75"/>
  <cols>
    <col min="1" max="1" width="3.57421875" style="306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7" max="7" width="0" style="0" hidden="1" customWidth="1"/>
    <col min="10" max="10" width="10.140625" style="0" customWidth="1"/>
    <col min="11" max="11" width="8.421875" style="0" customWidth="1"/>
    <col min="12" max="12" width="9.7109375" style="0" customWidth="1"/>
  </cols>
  <sheetData>
    <row r="1" spans="2:13" ht="15.75">
      <c r="B1" s="310" t="s">
        <v>438</v>
      </c>
      <c r="E1" s="310" t="s">
        <v>439</v>
      </c>
      <c r="F1" s="308"/>
      <c r="G1" s="478" t="e">
        <f>G2-G7</f>
        <v>#REF!</v>
      </c>
      <c r="H1" s="478"/>
      <c r="I1" s="478"/>
      <c r="J1" s="477">
        <f>J2-J7</f>
        <v>0</v>
      </c>
      <c r="K1" s="477">
        <f>K2-K7</f>
        <v>0</v>
      </c>
      <c r="L1" s="477">
        <f>L2-L7</f>
        <v>0</v>
      </c>
      <c r="M1" s="677"/>
    </row>
    <row r="2" spans="2:13" ht="15.75">
      <c r="B2" s="310"/>
      <c r="F2" s="308"/>
      <c r="G2" s="478" t="e">
        <f>SUM(G8:G10)</f>
        <v>#REF!</v>
      </c>
      <c r="H2" s="478"/>
      <c r="I2" s="478"/>
      <c r="J2" s="477">
        <f>SUM(J8:J10)</f>
        <v>776700</v>
      </c>
      <c r="K2" s="477">
        <f>SUM(K8:K10)</f>
        <v>828661.2</v>
      </c>
      <c r="L2" s="477">
        <f>SUM(L8:L10)</f>
        <v>0</v>
      </c>
      <c r="M2" s="677"/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2" customHeight="1">
      <c r="A4" s="324"/>
      <c r="B4" s="325" t="s">
        <v>216</v>
      </c>
      <c r="C4" s="326" t="s">
        <v>217</v>
      </c>
      <c r="D4" s="1259" t="s">
        <v>218</v>
      </c>
      <c r="E4" s="1259"/>
      <c r="F4" s="1259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2" customHeight="1">
      <c r="A5" s="324"/>
      <c r="B5" s="325" t="s">
        <v>221</v>
      </c>
      <c r="C5" s="326" t="s">
        <v>222</v>
      </c>
      <c r="D5" s="1259"/>
      <c r="E5" s="1259"/>
      <c r="F5" s="1259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324"/>
      <c r="B6" s="325" t="s">
        <v>226</v>
      </c>
      <c r="C6" s="326" t="s">
        <v>227</v>
      </c>
      <c r="D6" s="1259"/>
      <c r="E6" s="1259"/>
      <c r="F6" s="1259"/>
      <c r="G6" s="333">
        <v>1</v>
      </c>
      <c r="H6" s="333">
        <v>0</v>
      </c>
      <c r="I6" s="333">
        <v>1</v>
      </c>
      <c r="J6" s="334">
        <v>2</v>
      </c>
      <c r="K6" s="335">
        <v>3</v>
      </c>
      <c r="L6" s="335">
        <v>4</v>
      </c>
    </row>
    <row r="7" spans="1:12" ht="15">
      <c r="A7" s="678">
        <v>1</v>
      </c>
      <c r="B7" s="679" t="s">
        <v>438</v>
      </c>
      <c r="C7" s="338"/>
      <c r="D7" s="527"/>
      <c r="E7" s="339" t="s">
        <v>439</v>
      </c>
      <c r="F7" s="528"/>
      <c r="G7" s="341" t="e">
        <f>G11+G23+G41+#REF!+#REF!+#REF!+#REF!+#REF!</f>
        <v>#REF!</v>
      </c>
      <c r="H7" s="342">
        <f>SUM(H8:H10)</f>
        <v>757000</v>
      </c>
      <c r="I7" s="680">
        <f>SUM(I8:I10)</f>
        <v>384588.66000000003</v>
      </c>
      <c r="J7" s="342">
        <f>SUM(J8:J10)</f>
        <v>776700</v>
      </c>
      <c r="K7" s="342">
        <f>SUM(K8:K10)</f>
        <v>828661.2</v>
      </c>
      <c r="L7" s="342">
        <f>SUM(L8:L10)</f>
        <v>0</v>
      </c>
    </row>
    <row r="8" spans="1:12" ht="12.75">
      <c r="A8" s="681">
        <f>A7+1</f>
        <v>2</v>
      </c>
      <c r="B8" s="344" t="s">
        <v>229</v>
      </c>
      <c r="C8" s="345" t="s">
        <v>230</v>
      </c>
      <c r="D8" s="346"/>
      <c r="E8" s="347"/>
      <c r="F8" s="348"/>
      <c r="G8" s="493" t="e">
        <f>G12+#REF!+#REF!+#REF!+#REF!+#REF!+#REF!+#REF!</f>
        <v>#REF!</v>
      </c>
      <c r="H8" s="495">
        <f>SUM(H12,H24,H42)</f>
        <v>757000</v>
      </c>
      <c r="I8" s="495">
        <f>SUM(I12,I24,I42)</f>
        <v>384588.66000000003</v>
      </c>
      <c r="J8" s="495">
        <f>SUM(J12,J24,J42)</f>
        <v>776700</v>
      </c>
      <c r="K8" s="495">
        <f>SUM(K12,K24,K42)</f>
        <v>824861.2</v>
      </c>
      <c r="L8" s="495">
        <f>SUM(L12,L24,L42)</f>
        <v>0</v>
      </c>
    </row>
    <row r="9" spans="1:12" ht="12.75">
      <c r="A9" s="681">
        <f>A8+1</f>
        <v>3</v>
      </c>
      <c r="B9" s="344" t="s">
        <v>231</v>
      </c>
      <c r="C9" s="345" t="s">
        <v>232</v>
      </c>
      <c r="D9" s="346"/>
      <c r="E9" s="347"/>
      <c r="F9" s="348"/>
      <c r="G9" s="493" t="e">
        <f>G20+#REF!+#REF!+#REF!+#REF!</f>
        <v>#REF!</v>
      </c>
      <c r="H9" s="495">
        <f>SUM(H20+H37)</f>
        <v>0</v>
      </c>
      <c r="I9" s="495">
        <f>SUM(I20+I37)</f>
        <v>0</v>
      </c>
      <c r="J9" s="495">
        <f>SUM(J20+J37)</f>
        <v>0</v>
      </c>
      <c r="K9" s="495">
        <f>SUM(K20+K37)</f>
        <v>3800</v>
      </c>
      <c r="L9" s="495">
        <f>SUM(L20+L37)</f>
        <v>0</v>
      </c>
    </row>
    <row r="10" spans="1:12" ht="12.75">
      <c r="A10" s="681">
        <f>A9+1</f>
        <v>4</v>
      </c>
      <c r="B10" s="351"/>
      <c r="C10" s="352" t="s">
        <v>233</v>
      </c>
      <c r="D10" s="353"/>
      <c r="E10" s="354"/>
      <c r="F10" s="355"/>
      <c r="G10" s="498">
        <v>0</v>
      </c>
      <c r="H10" s="495">
        <v>0</v>
      </c>
      <c r="I10" s="495">
        <v>0</v>
      </c>
      <c r="J10" s="499">
        <v>0</v>
      </c>
      <c r="K10" s="495">
        <v>0</v>
      </c>
      <c r="L10" s="495">
        <v>0</v>
      </c>
    </row>
    <row r="11" spans="1:12" ht="12.75">
      <c r="A11" s="681">
        <v>5</v>
      </c>
      <c r="B11" s="682">
        <v>1</v>
      </c>
      <c r="C11" s="461" t="s">
        <v>210</v>
      </c>
      <c r="D11" s="360"/>
      <c r="E11" s="360"/>
      <c r="F11" s="361"/>
      <c r="G11" s="362" t="e">
        <f>G13+G21</f>
        <v>#REF!</v>
      </c>
      <c r="H11" s="363">
        <f>SUM(H12+H20)</f>
        <v>121900</v>
      </c>
      <c r="I11" s="363">
        <f>SUM(I12+I20)</f>
        <v>58287.02</v>
      </c>
      <c r="J11" s="364">
        <f>SUM(J12+J20)</f>
        <v>127100</v>
      </c>
      <c r="K11" s="363">
        <f>SUM(K12+K20)</f>
        <v>136310</v>
      </c>
      <c r="L11" s="363">
        <f>SUM(L12+L20)</f>
        <v>0</v>
      </c>
    </row>
    <row r="12" spans="1:12" ht="12.75">
      <c r="A12" s="681">
        <f>A11+1</f>
        <v>6</v>
      </c>
      <c r="B12" s="683"/>
      <c r="C12" s="374"/>
      <c r="D12" s="348" t="s">
        <v>230</v>
      </c>
      <c r="E12" s="375"/>
      <c r="F12" s="376"/>
      <c r="G12" s="377">
        <f aca="true" t="shared" si="0" ref="G12:L12">G13</f>
        <v>4145.8</v>
      </c>
      <c r="H12" s="378">
        <f t="shared" si="0"/>
        <v>121900</v>
      </c>
      <c r="I12" s="378">
        <f t="shared" si="0"/>
        <v>58287.02</v>
      </c>
      <c r="J12" s="378">
        <f t="shared" si="0"/>
        <v>127100</v>
      </c>
      <c r="K12" s="378">
        <f t="shared" si="0"/>
        <v>132510</v>
      </c>
      <c r="L12" s="378">
        <f t="shared" si="0"/>
        <v>0</v>
      </c>
    </row>
    <row r="13" spans="1:12" ht="12.75">
      <c r="A13" s="681">
        <f>A12+1</f>
        <v>7</v>
      </c>
      <c r="B13" s="388"/>
      <c r="C13" s="463" t="s">
        <v>440</v>
      </c>
      <c r="D13" s="381" t="s">
        <v>441</v>
      </c>
      <c r="E13" s="382"/>
      <c r="F13" s="383"/>
      <c r="G13" s="430">
        <f aca="true" t="shared" si="1" ref="G13:L13">SUM(G14:G19)</f>
        <v>4145.8</v>
      </c>
      <c r="H13" s="431">
        <f t="shared" si="1"/>
        <v>121900</v>
      </c>
      <c r="I13" s="431">
        <f t="shared" si="1"/>
        <v>58287.02</v>
      </c>
      <c r="J13" s="431">
        <f t="shared" si="1"/>
        <v>127100</v>
      </c>
      <c r="K13" s="431">
        <f t="shared" si="1"/>
        <v>132510</v>
      </c>
      <c r="L13" s="431">
        <f t="shared" si="1"/>
        <v>0</v>
      </c>
    </row>
    <row r="14" spans="1:12" ht="12.75">
      <c r="A14" s="681">
        <f>A13+1</f>
        <v>8</v>
      </c>
      <c r="B14" s="388"/>
      <c r="C14" s="418" t="s">
        <v>442</v>
      </c>
      <c r="D14" s="437" t="s">
        <v>266</v>
      </c>
      <c r="E14" s="398" t="s">
        <v>443</v>
      </c>
      <c r="F14" s="405"/>
      <c r="G14" s="406">
        <f>ROUND(K14/30.126,1)</f>
        <v>4145.8</v>
      </c>
      <c r="H14" s="397">
        <f>výdavky!D327</f>
        <v>67400</v>
      </c>
      <c r="I14" s="397">
        <f>výdavky!E327</f>
        <v>38255.63</v>
      </c>
      <c r="J14" s="511">
        <f>výdavky!F327+výdavky!F328</f>
        <v>67400</v>
      </c>
      <c r="K14" s="397">
        <f>výdavky!G327</f>
        <v>124897</v>
      </c>
      <c r="L14" s="397">
        <f>výdavky!H327</f>
        <v>0</v>
      </c>
    </row>
    <row r="15" spans="1:12" ht="12.75">
      <c r="A15" s="681">
        <f>A14+1</f>
        <v>9</v>
      </c>
      <c r="B15" s="388"/>
      <c r="C15" s="418" t="s">
        <v>444</v>
      </c>
      <c r="D15" s="437" t="s">
        <v>268</v>
      </c>
      <c r="E15" s="398" t="s">
        <v>421</v>
      </c>
      <c r="F15" s="405"/>
      <c r="G15" s="406">
        <f>ROUND(K15/30.126,1)</f>
        <v>0</v>
      </c>
      <c r="H15" s="397">
        <f>výdavky!D329</f>
        <v>40200</v>
      </c>
      <c r="I15" s="397">
        <f>výdavky!E329</f>
        <v>9966.67</v>
      </c>
      <c r="J15" s="511">
        <f>výdavky!F329</f>
        <v>40200</v>
      </c>
      <c r="K15" s="397">
        <f>výdavky!G329</f>
        <v>0</v>
      </c>
      <c r="L15" s="397">
        <f>výdavky!H329</f>
        <v>0</v>
      </c>
    </row>
    <row r="16" spans="1:12" ht="12.75">
      <c r="A16" s="681">
        <v>10</v>
      </c>
      <c r="B16" s="388"/>
      <c r="C16" s="418" t="s">
        <v>444</v>
      </c>
      <c r="D16" s="437" t="s">
        <v>279</v>
      </c>
      <c r="E16" s="398" t="s">
        <v>445</v>
      </c>
      <c r="F16" s="405"/>
      <c r="G16" s="406"/>
      <c r="H16" s="397">
        <f>SUM(výdavky!D332)</f>
        <v>2300</v>
      </c>
      <c r="I16" s="397">
        <f>SUM(výdavky!E332)</f>
        <v>2052.38</v>
      </c>
      <c r="J16" s="511">
        <f>SUM(výdavky!F332)</f>
        <v>2300</v>
      </c>
      <c r="K16" s="397">
        <f>výdavky!G332</f>
        <v>2710</v>
      </c>
      <c r="L16" s="397"/>
    </row>
    <row r="17" spans="1:12" ht="12.75">
      <c r="A17" s="681">
        <v>11</v>
      </c>
      <c r="B17" s="388"/>
      <c r="C17" s="418" t="s">
        <v>247</v>
      </c>
      <c r="D17" s="437" t="s">
        <v>281</v>
      </c>
      <c r="E17" s="398" t="s">
        <v>446</v>
      </c>
      <c r="F17" s="405"/>
      <c r="G17" s="406">
        <f>ROUND(K17/30.126,1)</f>
        <v>0</v>
      </c>
      <c r="H17" s="397">
        <f>výdavky!D333</f>
        <v>12000</v>
      </c>
      <c r="I17" s="397">
        <f>výdavky!E333</f>
        <v>5437.54</v>
      </c>
      <c r="J17" s="511">
        <f>výdavky!F333</f>
        <v>12000</v>
      </c>
      <c r="K17" s="397">
        <f>výdavky!G333</f>
        <v>0</v>
      </c>
      <c r="L17" s="397">
        <f>výdavky!H333</f>
        <v>0</v>
      </c>
    </row>
    <row r="18" spans="1:12" ht="12.75">
      <c r="A18" s="681">
        <f>A17+1</f>
        <v>12</v>
      </c>
      <c r="B18" s="388"/>
      <c r="C18" s="418" t="s">
        <v>429</v>
      </c>
      <c r="D18" s="437" t="s">
        <v>283</v>
      </c>
      <c r="E18" s="684" t="s">
        <v>447</v>
      </c>
      <c r="F18" s="685"/>
      <c r="G18" s="686"/>
      <c r="H18" s="687">
        <f>výdavky!D330</f>
        <v>0</v>
      </c>
      <c r="I18" s="688">
        <f>výdavky!E330</f>
        <v>132.8</v>
      </c>
      <c r="J18" s="689">
        <f>výdavky!F330</f>
        <v>200</v>
      </c>
      <c r="K18" s="687">
        <f>výdavky!G330</f>
        <v>183</v>
      </c>
      <c r="L18" s="687">
        <f>výdavky!H330</f>
        <v>0</v>
      </c>
    </row>
    <row r="19" spans="1:12" ht="12.75">
      <c r="A19" s="681">
        <f>A18+1</f>
        <v>13</v>
      </c>
      <c r="B19" s="388"/>
      <c r="C19" s="418" t="s">
        <v>429</v>
      </c>
      <c r="D19" s="437" t="s">
        <v>287</v>
      </c>
      <c r="E19" s="684" t="s">
        <v>448</v>
      </c>
      <c r="F19" s="685"/>
      <c r="G19" s="686"/>
      <c r="H19" s="687">
        <f>výdavky!D331</f>
        <v>0</v>
      </c>
      <c r="I19" s="688">
        <f>výdavky!E331</f>
        <v>2442</v>
      </c>
      <c r="J19" s="689">
        <f>výdavky!F331</f>
        <v>5000</v>
      </c>
      <c r="K19" s="687">
        <f>výdavky!G331</f>
        <v>4720</v>
      </c>
      <c r="L19" s="687">
        <f>výdavky!H331</f>
        <v>0</v>
      </c>
    </row>
    <row r="20" spans="1:12" ht="12.75">
      <c r="A20" s="681">
        <v>13</v>
      </c>
      <c r="B20" s="388"/>
      <c r="C20" s="436"/>
      <c r="D20" s="348" t="s">
        <v>232</v>
      </c>
      <c r="E20" s="404"/>
      <c r="F20" s="376"/>
      <c r="G20" s="377" t="e">
        <f aca="true" t="shared" si="2" ref="G20:L20">G21</f>
        <v>#REF!</v>
      </c>
      <c r="H20" s="378">
        <f t="shared" si="2"/>
        <v>0</v>
      </c>
      <c r="I20" s="378">
        <f t="shared" si="2"/>
        <v>0</v>
      </c>
      <c r="J20" s="378">
        <f t="shared" si="2"/>
        <v>0</v>
      </c>
      <c r="K20" s="378">
        <f t="shared" si="2"/>
        <v>3800</v>
      </c>
      <c r="L20" s="378">
        <f t="shared" si="2"/>
        <v>0</v>
      </c>
    </row>
    <row r="21" spans="1:12" s="413" customFormat="1" ht="12.75">
      <c r="A21" s="681">
        <f>A20+1</f>
        <v>14</v>
      </c>
      <c r="B21" s="388"/>
      <c r="C21" s="463" t="s">
        <v>440</v>
      </c>
      <c r="D21" s="381" t="s">
        <v>441</v>
      </c>
      <c r="E21" s="382"/>
      <c r="F21" s="383"/>
      <c r="G21" s="430" t="e">
        <f>SUM(#REF!)</f>
        <v>#REF!</v>
      </c>
      <c r="H21" s="431">
        <f>SUM(H22:H22)</f>
        <v>0</v>
      </c>
      <c r="I21" s="431">
        <f>SUM(I22:I22)</f>
        <v>0</v>
      </c>
      <c r="J21" s="431">
        <f>SUM(J22:J22)</f>
        <v>0</v>
      </c>
      <c r="K21" s="431">
        <f>SUM(K22:K22)</f>
        <v>3800</v>
      </c>
      <c r="L21" s="431">
        <f>SUM(L22:L22)</f>
        <v>0</v>
      </c>
    </row>
    <row r="22" spans="1:12" s="413" customFormat="1" ht="12.75">
      <c r="A22" s="681">
        <f>A21+1</f>
        <v>15</v>
      </c>
      <c r="B22" s="419"/>
      <c r="C22" s="690" t="s">
        <v>348</v>
      </c>
      <c r="D22" s="437" t="s">
        <v>290</v>
      </c>
      <c r="E22" s="424" t="s">
        <v>449</v>
      </c>
      <c r="F22" s="657"/>
      <c r="G22" s="658"/>
      <c r="H22" s="429">
        <f>výdavky!D451</f>
        <v>0</v>
      </c>
      <c r="I22" s="429">
        <v>0</v>
      </c>
      <c r="J22" s="659">
        <f>výdavky!F451</f>
        <v>0</v>
      </c>
      <c r="K22" s="429">
        <f>výdavky!G451</f>
        <v>3800</v>
      </c>
      <c r="L22" s="429">
        <f>výdavky!H451</f>
        <v>0</v>
      </c>
    </row>
    <row r="23" spans="1:12" ht="12.75">
      <c r="A23" s="681">
        <v>16</v>
      </c>
      <c r="B23" s="682">
        <v>2</v>
      </c>
      <c r="C23" s="461" t="s">
        <v>208</v>
      </c>
      <c r="D23" s="360"/>
      <c r="E23" s="360"/>
      <c r="F23" s="361"/>
      <c r="G23" s="362" t="e">
        <f>#REF!+#REF!+#REF!+#REF!+#REF!+#REF!+#REF!+#REF!</f>
        <v>#REF!</v>
      </c>
      <c r="H23" s="364">
        <f>H24+H37</f>
        <v>567700</v>
      </c>
      <c r="I23" s="364">
        <f>I24+I37</f>
        <v>284980.23000000004</v>
      </c>
      <c r="J23" s="364">
        <f>J24+J37</f>
        <v>583000</v>
      </c>
      <c r="K23" s="364">
        <f>K24+K37</f>
        <v>620601.2</v>
      </c>
      <c r="L23" s="364">
        <f>L24+L37</f>
        <v>0</v>
      </c>
    </row>
    <row r="24" spans="1:12" ht="12.75">
      <c r="A24" s="681">
        <f>A23+1</f>
        <v>17</v>
      </c>
      <c r="B24" s="691"/>
      <c r="C24" s="692"/>
      <c r="D24" s="347" t="s">
        <v>230</v>
      </c>
      <c r="E24" s="375"/>
      <c r="F24" s="376"/>
      <c r="G24" s="377">
        <f>G35</f>
        <v>0</v>
      </c>
      <c r="H24" s="378">
        <f>SUM(H25)</f>
        <v>567700</v>
      </c>
      <c r="I24" s="378">
        <f>SUM(I25)</f>
        <v>284980.23000000004</v>
      </c>
      <c r="J24" s="570">
        <f>SUM(J25)</f>
        <v>583000</v>
      </c>
      <c r="K24" s="378">
        <f>SUM(K25)</f>
        <v>620601.2</v>
      </c>
      <c r="L24" s="378">
        <f>SUM(L25)</f>
        <v>0</v>
      </c>
    </row>
    <row r="25" spans="1:12" ht="12.75">
      <c r="A25" s="681">
        <v>17</v>
      </c>
      <c r="B25" s="691"/>
      <c r="C25" s="463" t="s">
        <v>450</v>
      </c>
      <c r="D25" s="381" t="s">
        <v>451</v>
      </c>
      <c r="E25" s="382"/>
      <c r="F25" s="383"/>
      <c r="G25" s="430">
        <f>G26</f>
        <v>0</v>
      </c>
      <c r="H25" s="431">
        <f>SUM(H26,H27,H28,H29,H30,H31,H32,H33,H34,H35,H36)</f>
        <v>567700</v>
      </c>
      <c r="I25" s="431">
        <f>SUM(I26,I27,I28,I29,I30,I31,I32,I33,I34,I35,I36)</f>
        <v>284980.23000000004</v>
      </c>
      <c r="J25" s="431">
        <f>SUM(J26,J27,J28,J29,J30,J31,J32,J33,J34,J35,J36)</f>
        <v>583000</v>
      </c>
      <c r="K25" s="431">
        <f>SUM(K26,K27,K28,K29,K30,K31,K32,K33,K34,K35,K36)</f>
        <v>620601.2</v>
      </c>
      <c r="L25" s="431">
        <f>SUM(L26,L27,L28,L29,L30,L31,L32,L33,L34,L35,L36)</f>
        <v>0</v>
      </c>
    </row>
    <row r="26" spans="1:12" ht="12.75">
      <c r="A26" s="681">
        <f>A24+1</f>
        <v>18</v>
      </c>
      <c r="B26" s="691"/>
      <c r="C26" s="436" t="s">
        <v>442</v>
      </c>
      <c r="D26" s="542">
        <v>1</v>
      </c>
      <c r="E26" s="693" t="s">
        <v>443</v>
      </c>
      <c r="F26" s="694"/>
      <c r="G26" s="695"/>
      <c r="H26" s="696">
        <f>výdavky!D337</f>
        <v>400000</v>
      </c>
      <c r="I26" s="696">
        <f>výdavky!E337</f>
        <v>224817.74</v>
      </c>
      <c r="J26" s="696">
        <f>výdavky!F337+výdavky!F338</f>
        <v>400000</v>
      </c>
      <c r="K26" s="696">
        <f>výdavky!G337</f>
        <v>494935</v>
      </c>
      <c r="L26" s="696">
        <f>výdavky!H337</f>
        <v>0</v>
      </c>
    </row>
    <row r="27" spans="1:12" ht="12.75">
      <c r="A27" s="681">
        <v>19</v>
      </c>
      <c r="B27" s="691"/>
      <c r="C27" s="436" t="s">
        <v>444</v>
      </c>
      <c r="D27" s="542">
        <v>2</v>
      </c>
      <c r="E27" s="693" t="s">
        <v>421</v>
      </c>
      <c r="F27" s="697"/>
      <c r="G27" s="698"/>
      <c r="H27" s="696">
        <f>výdavky!D339</f>
        <v>45000</v>
      </c>
      <c r="I27" s="696">
        <f>výdavky!E339</f>
        <v>0</v>
      </c>
      <c r="J27" s="696">
        <f>výdavky!F339</f>
        <v>35000</v>
      </c>
      <c r="K27" s="696">
        <f>výdavky!G339</f>
        <v>0</v>
      </c>
      <c r="L27" s="696">
        <f>výdavky!H339</f>
        <v>0</v>
      </c>
    </row>
    <row r="28" spans="1:12" ht="12.75">
      <c r="A28" s="681">
        <v>20</v>
      </c>
      <c r="B28" s="691"/>
      <c r="C28" s="436" t="s">
        <v>277</v>
      </c>
      <c r="D28" s="542">
        <v>3</v>
      </c>
      <c r="E28" s="533" t="s">
        <v>452</v>
      </c>
      <c r="F28" s="699"/>
      <c r="G28" s="700"/>
      <c r="H28" s="701">
        <f>výdavky!D340</f>
        <v>0</v>
      </c>
      <c r="I28" s="701">
        <f>výdavky!E340</f>
        <v>4843.74</v>
      </c>
      <c r="J28" s="701">
        <f>výdavky!F340</f>
        <v>5000</v>
      </c>
      <c r="K28" s="701">
        <f>výdavky!G340</f>
        <v>6000</v>
      </c>
      <c r="L28" s="701">
        <f>výdavky!H340</f>
        <v>0</v>
      </c>
    </row>
    <row r="29" spans="1:12" ht="12.75">
      <c r="A29" s="681">
        <v>21</v>
      </c>
      <c r="B29" s="691"/>
      <c r="C29" s="436" t="s">
        <v>429</v>
      </c>
      <c r="D29" s="542">
        <v>4</v>
      </c>
      <c r="E29" s="533" t="s">
        <v>453</v>
      </c>
      <c r="F29" s="699"/>
      <c r="G29" s="700"/>
      <c r="H29" s="701">
        <f>výdavky!D341</f>
        <v>38000</v>
      </c>
      <c r="I29" s="701">
        <f>výdavky!E341</f>
        <v>22749.6</v>
      </c>
      <c r="J29" s="701">
        <f>výdavky!F341</f>
        <v>38000</v>
      </c>
      <c r="K29" s="701">
        <f>výdavky!G341</f>
        <v>38000</v>
      </c>
      <c r="L29" s="701">
        <f>výdavky!H341</f>
        <v>0</v>
      </c>
    </row>
    <row r="30" spans="1:12" ht="12.75">
      <c r="A30" s="681">
        <v>22</v>
      </c>
      <c r="B30" s="691"/>
      <c r="C30" s="436" t="s">
        <v>429</v>
      </c>
      <c r="D30" s="542">
        <v>5</v>
      </c>
      <c r="E30" s="693" t="s">
        <v>454</v>
      </c>
      <c r="F30" s="697"/>
      <c r="G30" s="698"/>
      <c r="H30" s="696">
        <f>výdavky!D342</f>
        <v>0</v>
      </c>
      <c r="I30" s="696">
        <f>výdavky!E342</f>
        <v>0</v>
      </c>
      <c r="J30" s="696">
        <f>výdavky!F342</f>
        <v>0</v>
      </c>
      <c r="K30" s="696">
        <f>výdavky!G342</f>
        <v>0</v>
      </c>
      <c r="L30" s="696">
        <f>výdavky!H342</f>
        <v>0</v>
      </c>
    </row>
    <row r="31" spans="1:12" ht="12.75">
      <c r="A31" s="681">
        <v>23</v>
      </c>
      <c r="B31" s="691"/>
      <c r="C31" s="436" t="s">
        <v>429</v>
      </c>
      <c r="D31" s="542">
        <v>6</v>
      </c>
      <c r="E31" s="693" t="s">
        <v>455</v>
      </c>
      <c r="F31" s="697"/>
      <c r="G31" s="698"/>
      <c r="H31" s="696">
        <f>výdavky!D344</f>
        <v>3500</v>
      </c>
      <c r="I31" s="696">
        <f>výdavky!E344</f>
        <v>1800</v>
      </c>
      <c r="J31" s="696">
        <f>výdavky!F344</f>
        <v>3500</v>
      </c>
      <c r="K31" s="696">
        <f>výdavky!G344</f>
        <v>3488</v>
      </c>
      <c r="L31" s="696">
        <f>výdavky!H344</f>
        <v>0</v>
      </c>
    </row>
    <row r="32" spans="1:12" ht="12.75">
      <c r="A32" s="681">
        <v>24</v>
      </c>
      <c r="B32" s="691"/>
      <c r="C32" s="436" t="s">
        <v>429</v>
      </c>
      <c r="D32" s="542">
        <v>7</v>
      </c>
      <c r="E32" s="693" t="s">
        <v>456</v>
      </c>
      <c r="F32" s="697"/>
      <c r="G32" s="698"/>
      <c r="H32" s="696">
        <f>výdavky!D345</f>
        <v>10000</v>
      </c>
      <c r="I32" s="696">
        <f>výdavky!E345</f>
        <v>6510</v>
      </c>
      <c r="J32" s="696">
        <f>výdavky!F345</f>
        <v>14500</v>
      </c>
      <c r="K32" s="696">
        <f>výdavky!G345</f>
        <v>11890</v>
      </c>
      <c r="L32" s="696">
        <f>výdavky!H345</f>
        <v>0</v>
      </c>
    </row>
    <row r="33" spans="1:12" ht="12.75">
      <c r="A33" s="681">
        <v>25</v>
      </c>
      <c r="B33" s="691"/>
      <c r="C33" s="436" t="s">
        <v>429</v>
      </c>
      <c r="D33" s="542">
        <v>8</v>
      </c>
      <c r="E33" s="693" t="s">
        <v>457</v>
      </c>
      <c r="F33" s="697"/>
      <c r="G33" s="698"/>
      <c r="H33" s="696">
        <f>výdavky!D346+výdavky!D347</f>
        <v>3200</v>
      </c>
      <c r="I33" s="696">
        <f>výdavky!E346</f>
        <v>1294.8</v>
      </c>
      <c r="J33" s="696">
        <f>SUM(výdavky!F346,výdavky!F347)</f>
        <v>3400</v>
      </c>
      <c r="K33" s="696">
        <f>výdavky!G346</f>
        <v>2440.2</v>
      </c>
      <c r="L33" s="696">
        <f>výdavky!H346</f>
        <v>0</v>
      </c>
    </row>
    <row r="34" spans="1:12" ht="12.75">
      <c r="A34" s="681">
        <v>26</v>
      </c>
      <c r="B34" s="691"/>
      <c r="C34" s="418" t="s">
        <v>429</v>
      </c>
      <c r="D34" s="437" t="s">
        <v>322</v>
      </c>
      <c r="E34" s="693" t="s">
        <v>458</v>
      </c>
      <c r="F34" s="685"/>
      <c r="G34" s="686"/>
      <c r="H34" s="696">
        <f>výdavky!D348</f>
        <v>8000</v>
      </c>
      <c r="I34" s="696">
        <f>výdavky!E348</f>
        <v>5134</v>
      </c>
      <c r="J34" s="696">
        <f>výdavky!F348</f>
        <v>8000</v>
      </c>
      <c r="K34" s="696">
        <f>výdavky!G348</f>
        <v>8403</v>
      </c>
      <c r="L34" s="696">
        <f>výdavky!H348</f>
        <v>0</v>
      </c>
    </row>
    <row r="35" spans="1:12" ht="12.75">
      <c r="A35" s="681">
        <v>27</v>
      </c>
      <c r="B35" s="691"/>
      <c r="C35" s="418" t="s">
        <v>429</v>
      </c>
      <c r="D35" s="437" t="s">
        <v>324</v>
      </c>
      <c r="E35" s="693" t="s">
        <v>459</v>
      </c>
      <c r="F35" s="685"/>
      <c r="G35" s="686"/>
      <c r="H35" s="696">
        <f>výdavky!D349</f>
        <v>60000</v>
      </c>
      <c r="I35" s="696">
        <f>výdavky!E349</f>
        <v>9112.08</v>
      </c>
      <c r="J35" s="696">
        <f>výdavky!F349</f>
        <v>60000</v>
      </c>
      <c r="K35" s="696">
        <f>výdavky!G349</f>
        <v>39600</v>
      </c>
      <c r="L35" s="696">
        <f>výdavky!H349</f>
        <v>0</v>
      </c>
    </row>
    <row r="36" spans="1:12" ht="12.75">
      <c r="A36" s="681">
        <v>28</v>
      </c>
      <c r="B36" s="691"/>
      <c r="C36" s="436" t="s">
        <v>429</v>
      </c>
      <c r="D36" s="437" t="s">
        <v>328</v>
      </c>
      <c r="E36" s="684" t="s">
        <v>460</v>
      </c>
      <c r="F36" s="702"/>
      <c r="G36" s="703"/>
      <c r="H36" s="704">
        <f>výdavky!D350</f>
        <v>0</v>
      </c>
      <c r="I36" s="704">
        <f>výdavky!E350</f>
        <v>8718.27</v>
      </c>
      <c r="J36" s="704">
        <f>výdavky!F350</f>
        <v>15600</v>
      </c>
      <c r="K36" s="704">
        <f>výdavky!G350</f>
        <v>15845</v>
      </c>
      <c r="L36" s="704">
        <f>výdavky!H350</f>
        <v>0</v>
      </c>
    </row>
    <row r="37" spans="1:12" ht="12.75">
      <c r="A37" s="681">
        <v>29</v>
      </c>
      <c r="B37" s="388"/>
      <c r="C37" s="436"/>
      <c r="D37" s="347" t="s">
        <v>232</v>
      </c>
      <c r="E37" s="404"/>
      <c r="F37" s="376"/>
      <c r="G37" s="377">
        <f aca="true" t="shared" si="3" ref="G37:L38">G38</f>
        <v>0</v>
      </c>
      <c r="H37" s="378">
        <f t="shared" si="3"/>
        <v>0</v>
      </c>
      <c r="I37" s="378">
        <f t="shared" si="3"/>
        <v>0</v>
      </c>
      <c r="J37" s="378">
        <f t="shared" si="3"/>
        <v>0</v>
      </c>
      <c r="K37" s="378">
        <f t="shared" si="3"/>
        <v>0</v>
      </c>
      <c r="L37" s="378">
        <f t="shared" si="3"/>
        <v>0</v>
      </c>
    </row>
    <row r="38" spans="1:12" ht="12.75">
      <c r="A38" s="681">
        <f aca="true" t="shared" si="4" ref="A38:A51">A37+1</f>
        <v>30</v>
      </c>
      <c r="B38" s="388"/>
      <c r="C38" s="463" t="s">
        <v>450</v>
      </c>
      <c r="D38" s="381" t="s">
        <v>451</v>
      </c>
      <c r="E38" s="382"/>
      <c r="F38" s="383"/>
      <c r="G38" s="430">
        <f t="shared" si="3"/>
        <v>0</v>
      </c>
      <c r="H38" s="431">
        <f t="shared" si="3"/>
        <v>0</v>
      </c>
      <c r="I38" s="431">
        <f t="shared" si="3"/>
        <v>0</v>
      </c>
      <c r="J38" s="431">
        <f t="shared" si="3"/>
        <v>0</v>
      </c>
      <c r="K38" s="431">
        <f t="shared" si="3"/>
        <v>0</v>
      </c>
      <c r="L38" s="431">
        <f t="shared" si="3"/>
        <v>0</v>
      </c>
    </row>
    <row r="39" spans="1:12" ht="12.75">
      <c r="A39" s="681">
        <f t="shared" si="4"/>
        <v>31</v>
      </c>
      <c r="B39" s="419"/>
      <c r="C39" s="418" t="s">
        <v>348</v>
      </c>
      <c r="D39" s="432" t="s">
        <v>426</v>
      </c>
      <c r="E39" s="460" t="s">
        <v>97</v>
      </c>
      <c r="F39" s="705"/>
      <c r="G39" s="706"/>
      <c r="H39" s="392">
        <v>0</v>
      </c>
      <c r="I39" s="392">
        <f>výdavky!E453</f>
        <v>0</v>
      </c>
      <c r="J39" s="532">
        <f>výdavky!F453</f>
        <v>0</v>
      </c>
      <c r="K39" s="392">
        <f>výdavky!G453</f>
        <v>0</v>
      </c>
      <c r="L39" s="392">
        <f>výdavky!H453</f>
        <v>0</v>
      </c>
    </row>
    <row r="40" spans="1:12" ht="12.75">
      <c r="A40" s="681">
        <f t="shared" si="4"/>
        <v>32</v>
      </c>
      <c r="B40" s="419"/>
      <c r="C40" s="438" t="s">
        <v>348</v>
      </c>
      <c r="D40" s="437" t="s">
        <v>775</v>
      </c>
      <c r="E40" s="394"/>
      <c r="F40" s="425"/>
      <c r="G40" s="406"/>
      <c r="H40" s="397">
        <v>0</v>
      </c>
      <c r="I40" s="397">
        <v>0</v>
      </c>
      <c r="J40" s="511">
        <v>0</v>
      </c>
      <c r="K40" s="397">
        <v>0</v>
      </c>
      <c r="L40" s="397">
        <v>0</v>
      </c>
    </row>
    <row r="41" spans="1:12" ht="12.75">
      <c r="A41" s="681">
        <f t="shared" si="4"/>
        <v>33</v>
      </c>
      <c r="B41" s="682">
        <v>3</v>
      </c>
      <c r="C41" s="461" t="s">
        <v>461</v>
      </c>
      <c r="D41" s="360"/>
      <c r="E41" s="360"/>
      <c r="F41" s="361"/>
      <c r="G41" s="362" t="e">
        <f>#REF!+#REF!</f>
        <v>#REF!</v>
      </c>
      <c r="H41" s="364">
        <f aca="true" t="shared" si="5" ref="H41:L42">H42</f>
        <v>67400</v>
      </c>
      <c r="I41" s="364">
        <f t="shared" si="5"/>
        <v>41321.41</v>
      </c>
      <c r="J41" s="364">
        <f t="shared" si="5"/>
        <v>66600</v>
      </c>
      <c r="K41" s="364">
        <f t="shared" si="5"/>
        <v>71750</v>
      </c>
      <c r="L41" s="364">
        <f t="shared" si="5"/>
        <v>0</v>
      </c>
    </row>
    <row r="42" spans="1:12" ht="12.75">
      <c r="A42" s="681">
        <f t="shared" si="4"/>
        <v>34</v>
      </c>
      <c r="B42" s="683"/>
      <c r="C42" s="374"/>
      <c r="D42" s="348" t="s">
        <v>230</v>
      </c>
      <c r="E42" s="375"/>
      <c r="F42" s="376"/>
      <c r="G42" s="377">
        <f>G43</f>
        <v>1045.6999999999998</v>
      </c>
      <c r="H42" s="378">
        <f t="shared" si="5"/>
        <v>67400</v>
      </c>
      <c r="I42" s="378">
        <f t="shared" si="5"/>
        <v>41321.41</v>
      </c>
      <c r="J42" s="378">
        <f t="shared" si="5"/>
        <v>66600</v>
      </c>
      <c r="K42" s="378">
        <f t="shared" si="5"/>
        <v>71750</v>
      </c>
      <c r="L42" s="378">
        <f t="shared" si="5"/>
        <v>0</v>
      </c>
    </row>
    <row r="43" spans="1:12" ht="12.75">
      <c r="A43" s="681">
        <f t="shared" si="4"/>
        <v>35</v>
      </c>
      <c r="B43" s="388"/>
      <c r="C43" s="463" t="s">
        <v>462</v>
      </c>
      <c r="D43" s="381" t="s">
        <v>463</v>
      </c>
      <c r="E43" s="382"/>
      <c r="F43" s="383"/>
      <c r="G43" s="430">
        <f aca="true" t="shared" si="6" ref="G43:L43">SUM(G44:G51)</f>
        <v>1045.6999999999998</v>
      </c>
      <c r="H43" s="431">
        <f t="shared" si="6"/>
        <v>67400</v>
      </c>
      <c r="I43" s="431">
        <f t="shared" si="6"/>
        <v>41321.41</v>
      </c>
      <c r="J43" s="431">
        <f t="shared" si="6"/>
        <v>66600</v>
      </c>
      <c r="K43" s="431">
        <f t="shared" si="6"/>
        <v>71750</v>
      </c>
      <c r="L43" s="431">
        <f t="shared" si="6"/>
        <v>0</v>
      </c>
    </row>
    <row r="44" spans="1:12" ht="12.75">
      <c r="A44" s="681">
        <f t="shared" si="4"/>
        <v>36</v>
      </c>
      <c r="B44" s="388"/>
      <c r="C44" s="418" t="s">
        <v>239</v>
      </c>
      <c r="D44" s="437" t="s">
        <v>266</v>
      </c>
      <c r="E44" s="398" t="s">
        <v>295</v>
      </c>
      <c r="F44" s="405"/>
      <c r="G44" s="406">
        <f>ROUND(K44/30.126,1)</f>
        <v>763.5</v>
      </c>
      <c r="H44" s="397">
        <f>výdavky!D352</f>
        <v>23000</v>
      </c>
      <c r="I44" s="397">
        <f>výdavky!E352</f>
        <v>11164.61</v>
      </c>
      <c r="J44" s="397">
        <f>výdavky!F352+výdavky!F353</f>
        <v>23000</v>
      </c>
      <c r="K44" s="397">
        <f>výdavky!G352</f>
        <v>23000</v>
      </c>
      <c r="L44" s="397">
        <f>výdavky!H352</f>
        <v>0</v>
      </c>
    </row>
    <row r="45" spans="1:12" ht="12.75">
      <c r="A45" s="681">
        <f t="shared" si="4"/>
        <v>37</v>
      </c>
      <c r="B45" s="388"/>
      <c r="C45" s="418" t="s">
        <v>241</v>
      </c>
      <c r="D45" s="437" t="s">
        <v>268</v>
      </c>
      <c r="E45" s="398" t="s">
        <v>464</v>
      </c>
      <c r="F45" s="405"/>
      <c r="G45" s="406">
        <f>ROUND(K45/30.126,1)</f>
        <v>265.6</v>
      </c>
      <c r="H45" s="397">
        <f>výdavky!D354</f>
        <v>8000</v>
      </c>
      <c r="I45" s="397">
        <f>výdavky!E354</f>
        <v>3957.62</v>
      </c>
      <c r="J45" s="397">
        <f>výdavky!F354</f>
        <v>8000</v>
      </c>
      <c r="K45" s="397">
        <f>výdavky!G354</f>
        <v>8000</v>
      </c>
      <c r="L45" s="397">
        <f>výdavky!H354</f>
        <v>0</v>
      </c>
    </row>
    <row r="46" spans="1:12" ht="12.75">
      <c r="A46" s="681">
        <f t="shared" si="4"/>
        <v>38</v>
      </c>
      <c r="B46" s="388"/>
      <c r="C46" s="418" t="s">
        <v>245</v>
      </c>
      <c r="D46" s="437" t="s">
        <v>279</v>
      </c>
      <c r="E46" s="398" t="s">
        <v>402</v>
      </c>
      <c r="F46" s="405"/>
      <c r="G46" s="406"/>
      <c r="H46" s="397">
        <f>výdavky!D356</f>
        <v>8400</v>
      </c>
      <c r="I46" s="397">
        <f>výdavky!E356</f>
        <v>3591.83</v>
      </c>
      <c r="J46" s="511">
        <f>výdavky!F356</f>
        <v>7500</v>
      </c>
      <c r="K46" s="397">
        <f>výdavky!G356</f>
        <v>6700</v>
      </c>
      <c r="L46" s="397">
        <f>výdavky!H356</f>
        <v>0</v>
      </c>
    </row>
    <row r="47" spans="1:12" ht="12.75">
      <c r="A47" s="681">
        <f t="shared" si="4"/>
        <v>39</v>
      </c>
      <c r="B47" s="388"/>
      <c r="C47" s="418" t="s">
        <v>247</v>
      </c>
      <c r="D47" s="437" t="s">
        <v>281</v>
      </c>
      <c r="E47" s="398" t="s">
        <v>465</v>
      </c>
      <c r="F47" s="405"/>
      <c r="G47" s="406">
        <f>ROUND(K47/30.126,1)</f>
        <v>16.6</v>
      </c>
      <c r="H47" s="397">
        <f>výdavky!D357</f>
        <v>500</v>
      </c>
      <c r="I47" s="397">
        <f>výdavky!E357</f>
        <v>210.91</v>
      </c>
      <c r="J47" s="511">
        <f>výdavky!F357</f>
        <v>500</v>
      </c>
      <c r="K47" s="397">
        <f>výdavky!G357</f>
        <v>500</v>
      </c>
      <c r="L47" s="397">
        <f>výdavky!H357</f>
        <v>0</v>
      </c>
    </row>
    <row r="48" spans="1:12" ht="12.75">
      <c r="A48" s="681">
        <f t="shared" si="4"/>
        <v>40</v>
      </c>
      <c r="B48" s="388"/>
      <c r="C48" s="418" t="s">
        <v>247</v>
      </c>
      <c r="D48" s="432" t="s">
        <v>283</v>
      </c>
      <c r="E48" s="389" t="s">
        <v>446</v>
      </c>
      <c r="F48" s="433"/>
      <c r="G48" s="439"/>
      <c r="H48" s="392">
        <f>výdavky!D358</f>
        <v>23000</v>
      </c>
      <c r="I48" s="392">
        <f>výdavky!E358</f>
        <v>18734.58</v>
      </c>
      <c r="J48" s="532">
        <f>výdavky!F358</f>
        <v>23000</v>
      </c>
      <c r="K48" s="392">
        <f>výdavky!G358</f>
        <v>27000</v>
      </c>
      <c r="L48" s="392">
        <f>výdavky!H358</f>
        <v>0</v>
      </c>
    </row>
    <row r="49" spans="1:12" ht="12.75">
      <c r="A49" s="681">
        <f t="shared" si="4"/>
        <v>41</v>
      </c>
      <c r="B49" s="388"/>
      <c r="C49" s="418" t="s">
        <v>247</v>
      </c>
      <c r="D49" s="437" t="s">
        <v>287</v>
      </c>
      <c r="E49" s="398" t="s">
        <v>466</v>
      </c>
      <c r="F49" s="405"/>
      <c r="G49" s="406"/>
      <c r="H49" s="397">
        <f>výdavky!D359</f>
        <v>4000</v>
      </c>
      <c r="I49" s="397">
        <f>výdavky!E359</f>
        <v>3149.24</v>
      </c>
      <c r="J49" s="511">
        <f>výdavky!F359</f>
        <v>4000</v>
      </c>
      <c r="K49" s="397">
        <f>výdavky!G359</f>
        <v>3200</v>
      </c>
      <c r="L49" s="397">
        <f>výdavky!H359</f>
        <v>0</v>
      </c>
    </row>
    <row r="50" spans="1:12" ht="12.75">
      <c r="A50" s="681">
        <f t="shared" si="4"/>
        <v>42</v>
      </c>
      <c r="B50" s="388"/>
      <c r="C50" s="418" t="s">
        <v>251</v>
      </c>
      <c r="D50" s="437" t="s">
        <v>290</v>
      </c>
      <c r="E50" s="398" t="s">
        <v>334</v>
      </c>
      <c r="F50" s="405"/>
      <c r="G50" s="406"/>
      <c r="H50" s="397">
        <f>výdavky!D360</f>
        <v>400</v>
      </c>
      <c r="I50" s="397">
        <f>výdavky!E360</f>
        <v>20.98</v>
      </c>
      <c r="J50" s="511">
        <f>výdavky!F360</f>
        <v>100</v>
      </c>
      <c r="K50" s="397">
        <f>výdavky!G360</f>
        <v>2400</v>
      </c>
      <c r="L50" s="397">
        <f>výdavky!H360</f>
        <v>0</v>
      </c>
    </row>
    <row r="51" spans="1:12" ht="12.75">
      <c r="A51" s="642">
        <f t="shared" si="4"/>
        <v>43</v>
      </c>
      <c r="B51" s="707"/>
      <c r="C51" s="708" t="s">
        <v>255</v>
      </c>
      <c r="D51" s="514" t="s">
        <v>320</v>
      </c>
      <c r="E51" s="594" t="s">
        <v>256</v>
      </c>
      <c r="F51" s="595"/>
      <c r="G51" s="596"/>
      <c r="H51" s="519">
        <f>výdavky!D361</f>
        <v>100</v>
      </c>
      <c r="I51" s="519">
        <f>výdavky!E361</f>
        <v>491.64</v>
      </c>
      <c r="J51" s="519">
        <f>výdavky!F361</f>
        <v>500</v>
      </c>
      <c r="K51" s="519">
        <f>výdavky!G361</f>
        <v>950</v>
      </c>
      <c r="L51" s="519">
        <f>výdavky!H361</f>
        <v>0</v>
      </c>
    </row>
    <row r="54" ht="12.75">
      <c r="E54" s="307"/>
    </row>
    <row r="56" ht="12.75">
      <c r="L56" s="676"/>
    </row>
  </sheetData>
  <sheetProtection/>
  <mergeCells count="2">
    <mergeCell ref="G3:L3"/>
    <mergeCell ref="D4:F6"/>
  </mergeCells>
  <printOptions/>
  <pageMargins left="0.5902777777777778" right="0.19652777777777777" top="0.7875" bottom="0.7875" header="0.5118055555555556" footer="0.5118055555555556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57421875" style="306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0" style="0" hidden="1" customWidth="1"/>
    <col min="10" max="10" width="7.57421875" style="0" customWidth="1"/>
    <col min="11" max="11" width="8.421875" style="0" customWidth="1"/>
    <col min="12" max="12" width="7.28125" style="0" customWidth="1"/>
  </cols>
  <sheetData>
    <row r="1" spans="2:12" ht="15.75">
      <c r="B1" s="310" t="s">
        <v>467</v>
      </c>
      <c r="E1" s="709" t="s">
        <v>468</v>
      </c>
      <c r="F1" s="308"/>
      <c r="G1" s="476" t="e">
        <f>G2-G7</f>
        <v>#REF!</v>
      </c>
      <c r="H1" s="476"/>
      <c r="I1" s="476"/>
      <c r="J1" s="477">
        <f>J2-J7</f>
        <v>0</v>
      </c>
      <c r="K1" s="477">
        <f>K2-K7</f>
        <v>0</v>
      </c>
      <c r="L1" s="477">
        <f>L2-L7</f>
        <v>0</v>
      </c>
    </row>
    <row r="2" spans="2:12" ht="15.75">
      <c r="B2" s="310"/>
      <c r="E2" s="308"/>
      <c r="F2" s="308"/>
      <c r="G2" s="476" t="e">
        <f>SUM(G8:G10)</f>
        <v>#REF!</v>
      </c>
      <c r="H2" s="476"/>
      <c r="I2" s="476"/>
      <c r="J2" s="477">
        <f>SUM(J8:J10)</f>
        <v>243550</v>
      </c>
      <c r="K2" s="477">
        <f>SUM(K8:K10)</f>
        <v>60920</v>
      </c>
      <c r="L2" s="477">
        <f>SUM(L8:L10)</f>
        <v>0</v>
      </c>
    </row>
    <row r="3" spans="1:12" ht="12.75" customHeight="1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2" customHeight="1">
      <c r="A4" s="324"/>
      <c r="B4" s="325" t="s">
        <v>216</v>
      </c>
      <c r="C4" s="326" t="s">
        <v>217</v>
      </c>
      <c r="D4" s="1260" t="s">
        <v>218</v>
      </c>
      <c r="E4" s="1260"/>
      <c r="F4" s="1260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3.5" customHeight="1">
      <c r="A5" s="324"/>
      <c r="B5" s="325" t="s">
        <v>221</v>
      </c>
      <c r="C5" s="326" t="s">
        <v>222</v>
      </c>
      <c r="D5" s="1260"/>
      <c r="E5" s="1260"/>
      <c r="F5" s="1260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479"/>
      <c r="B6" s="480" t="s">
        <v>226</v>
      </c>
      <c r="C6" s="481" t="s">
        <v>227</v>
      </c>
      <c r="D6" s="1260"/>
      <c r="E6" s="1260"/>
      <c r="F6" s="1260"/>
      <c r="G6" s="482">
        <v>1</v>
      </c>
      <c r="H6" s="333">
        <v>0</v>
      </c>
      <c r="I6" s="333">
        <v>1</v>
      </c>
      <c r="J6" s="334">
        <v>2</v>
      </c>
      <c r="K6" s="335">
        <v>3</v>
      </c>
      <c r="L6" s="335">
        <v>4</v>
      </c>
    </row>
    <row r="7" spans="1:12" ht="15">
      <c r="A7" s="343">
        <v>1</v>
      </c>
      <c r="B7" s="710" t="s">
        <v>467</v>
      </c>
      <c r="C7" s="486"/>
      <c r="D7" s="487"/>
      <c r="E7" s="488" t="s">
        <v>469</v>
      </c>
      <c r="F7" s="489"/>
      <c r="G7" s="711" t="e">
        <f>G11+#REF!+#REF!+G17+#REF!+#REF!+#REF!+#REF!+#REF!+#REF!+#REF!+#REF!+G22+#REF!</f>
        <v>#REF!</v>
      </c>
      <c r="H7" s="712">
        <f>SUM(H8:H10)</f>
        <v>44600</v>
      </c>
      <c r="I7" s="712">
        <f>SUM(I8:I10)</f>
        <v>26437.45</v>
      </c>
      <c r="J7" s="713">
        <f>SUM(J8,J9,J10)</f>
        <v>243550</v>
      </c>
      <c r="K7" s="712">
        <f>SUM(K8:K10)</f>
        <v>60920</v>
      </c>
      <c r="L7" s="712">
        <f>SUM(L8:L10)</f>
        <v>0</v>
      </c>
    </row>
    <row r="8" spans="1:12" ht="12.75">
      <c r="A8" s="343">
        <f aca="true" t="shared" si="0" ref="A8:A15">A7+1</f>
        <v>2</v>
      </c>
      <c r="B8" s="344" t="s">
        <v>229</v>
      </c>
      <c r="C8" s="345" t="s">
        <v>230</v>
      </c>
      <c r="D8" s="346"/>
      <c r="E8" s="347"/>
      <c r="F8" s="348"/>
      <c r="G8" s="493" t="e">
        <f>G12+#REF!+#REF!+#REF!+G18+#REF!+#REF!+#REF!+#REF!+G23+#REF!+#REF!+#REF!</f>
        <v>#REF!</v>
      </c>
      <c r="H8" s="495">
        <f>SUM(H12,H18,H23,H31)</f>
        <v>44600</v>
      </c>
      <c r="I8" s="495">
        <f>SUM(I12,I18,I23,I31)</f>
        <v>26437.45</v>
      </c>
      <c r="J8" s="495">
        <f>SUM(J12,J18,J23,J31)</f>
        <v>53550</v>
      </c>
      <c r="K8" s="495">
        <f>SUM(K12,K18,K23,K31)</f>
        <v>60920</v>
      </c>
      <c r="L8" s="495">
        <f>SUM(L12,L18,L23,L31)</f>
        <v>0</v>
      </c>
    </row>
    <row r="9" spans="1:12" ht="12.75">
      <c r="A9" s="343">
        <f t="shared" si="0"/>
        <v>3</v>
      </c>
      <c r="B9" s="344" t="s">
        <v>231</v>
      </c>
      <c r="C9" s="345" t="s">
        <v>232</v>
      </c>
      <c r="D9" s="346"/>
      <c r="E9" s="347"/>
      <c r="F9" s="348"/>
      <c r="G9" s="493" t="e">
        <f>#REF!</f>
        <v>#REF!</v>
      </c>
      <c r="H9" s="495">
        <f>SUM(H27)</f>
        <v>0</v>
      </c>
      <c r="I9" s="495">
        <f>SUM(I27)</f>
        <v>0</v>
      </c>
      <c r="J9" s="494">
        <f>SUM(J27)</f>
        <v>190000</v>
      </c>
      <c r="K9" s="495">
        <f>SUM(K27)</f>
        <v>0</v>
      </c>
      <c r="L9" s="495">
        <f>SUM(L27)</f>
        <v>0</v>
      </c>
    </row>
    <row r="10" spans="1:12" ht="12.75">
      <c r="A10" s="343">
        <f t="shared" si="0"/>
        <v>4</v>
      </c>
      <c r="B10" s="351"/>
      <c r="C10" s="352" t="s">
        <v>233</v>
      </c>
      <c r="D10" s="353"/>
      <c r="E10" s="354"/>
      <c r="F10" s="355"/>
      <c r="G10" s="498" t="e">
        <f>#REF!</f>
        <v>#REF!</v>
      </c>
      <c r="H10" s="495">
        <v>0</v>
      </c>
      <c r="I10" s="495">
        <v>0</v>
      </c>
      <c r="J10" s="499">
        <v>0</v>
      </c>
      <c r="K10" s="495">
        <v>0</v>
      </c>
      <c r="L10" s="495">
        <v>0</v>
      </c>
    </row>
    <row r="11" spans="1:12" ht="12.75">
      <c r="A11" s="343">
        <f t="shared" si="0"/>
        <v>5</v>
      </c>
      <c r="B11" s="358">
        <v>1</v>
      </c>
      <c r="C11" s="461" t="s">
        <v>470</v>
      </c>
      <c r="D11" s="360"/>
      <c r="E11" s="360"/>
      <c r="F11" s="361"/>
      <c r="G11" s="714">
        <f>SUM(G13)</f>
        <v>297.70000000000005</v>
      </c>
      <c r="H11" s="363">
        <f aca="true" t="shared" si="1" ref="H11:L12">H12</f>
        <v>9500</v>
      </c>
      <c r="I11" s="363">
        <f t="shared" si="1"/>
        <v>1131.44</v>
      </c>
      <c r="J11" s="715">
        <f t="shared" si="1"/>
        <v>9600</v>
      </c>
      <c r="K11" s="363">
        <f t="shared" si="1"/>
        <v>10070</v>
      </c>
      <c r="L11" s="363">
        <f t="shared" si="1"/>
        <v>0</v>
      </c>
    </row>
    <row r="12" spans="1:12" ht="12.75">
      <c r="A12" s="343">
        <f t="shared" si="0"/>
        <v>6</v>
      </c>
      <c r="B12" s="373"/>
      <c r="C12" s="374"/>
      <c r="D12" s="348" t="s">
        <v>230</v>
      </c>
      <c r="E12" s="375"/>
      <c r="F12" s="376"/>
      <c r="G12" s="716">
        <f>G13</f>
        <v>297.70000000000005</v>
      </c>
      <c r="H12" s="378">
        <f t="shared" si="1"/>
        <v>9500</v>
      </c>
      <c r="I12" s="378">
        <f t="shared" si="1"/>
        <v>1131.44</v>
      </c>
      <c r="J12" s="717">
        <f t="shared" si="1"/>
        <v>9600</v>
      </c>
      <c r="K12" s="378">
        <f t="shared" si="1"/>
        <v>10070</v>
      </c>
      <c r="L12" s="378">
        <f t="shared" si="1"/>
        <v>0</v>
      </c>
    </row>
    <row r="13" spans="1:12" ht="12.75">
      <c r="A13" s="343">
        <f t="shared" si="0"/>
        <v>7</v>
      </c>
      <c r="B13" s="407"/>
      <c r="C13" s="459" t="s">
        <v>471</v>
      </c>
      <c r="D13" s="381" t="s">
        <v>472</v>
      </c>
      <c r="E13" s="382"/>
      <c r="F13" s="383"/>
      <c r="G13" s="718">
        <f>SUM(G14:G15)</f>
        <v>297.70000000000005</v>
      </c>
      <c r="H13" s="385">
        <f>SUM(H14,H15,H16)</f>
        <v>9500</v>
      </c>
      <c r="I13" s="385">
        <f>SUM(I14,I15,I16)</f>
        <v>1131.44</v>
      </c>
      <c r="J13" s="509">
        <f>SUM(J14,J15,J16)</f>
        <v>9600</v>
      </c>
      <c r="K13" s="385">
        <f>SUM(K14,K15,K16)</f>
        <v>10070</v>
      </c>
      <c r="L13" s="385">
        <f>SUM(L14,L15,L16)</f>
        <v>0</v>
      </c>
    </row>
    <row r="14" spans="1:12" ht="12.75">
      <c r="A14" s="343">
        <f t="shared" si="0"/>
        <v>8</v>
      </c>
      <c r="B14" s="407"/>
      <c r="C14" s="438" t="s">
        <v>277</v>
      </c>
      <c r="D14" s="437" t="s">
        <v>266</v>
      </c>
      <c r="E14" s="398" t="s">
        <v>473</v>
      </c>
      <c r="F14" s="405"/>
      <c r="G14" s="406">
        <f>ROUND(K14/30.126,1)</f>
        <v>102.9</v>
      </c>
      <c r="H14" s="397">
        <f>výdavky!D383</f>
        <v>3500</v>
      </c>
      <c r="I14" s="397">
        <f>výdavky!E383</f>
        <v>1089.44</v>
      </c>
      <c r="J14" s="511">
        <f>výdavky!F383</f>
        <v>3500</v>
      </c>
      <c r="K14" s="397">
        <f>výdavky!G383</f>
        <v>3100</v>
      </c>
      <c r="L14" s="397">
        <f>výdavky!H383</f>
        <v>0</v>
      </c>
    </row>
    <row r="15" spans="1:12" ht="12.75">
      <c r="A15" s="343">
        <f t="shared" si="0"/>
        <v>9</v>
      </c>
      <c r="B15" s="407"/>
      <c r="C15" s="438" t="s">
        <v>277</v>
      </c>
      <c r="D15" s="437" t="s">
        <v>268</v>
      </c>
      <c r="E15" s="398" t="s">
        <v>474</v>
      </c>
      <c r="F15" s="405"/>
      <c r="G15" s="406">
        <f>ROUND(K15/30.126,1)</f>
        <v>194.8</v>
      </c>
      <c r="H15" s="397">
        <f>výdavky!D384</f>
        <v>6000</v>
      </c>
      <c r="I15" s="397">
        <f>výdavky!E384</f>
        <v>0</v>
      </c>
      <c r="J15" s="511">
        <f>výdavky!F384</f>
        <v>6000</v>
      </c>
      <c r="K15" s="397">
        <f>výdavky!G384</f>
        <v>5870</v>
      </c>
      <c r="L15" s="397">
        <f>výdavky!H384</f>
        <v>0</v>
      </c>
    </row>
    <row r="16" spans="1:12" ht="12.75">
      <c r="A16" s="343"/>
      <c r="B16" s="407"/>
      <c r="C16" s="436" t="s">
        <v>429</v>
      </c>
      <c r="D16" s="437" t="s">
        <v>279</v>
      </c>
      <c r="E16" s="533" t="s">
        <v>475</v>
      </c>
      <c r="F16" s="405"/>
      <c r="G16" s="406"/>
      <c r="H16" s="397">
        <f>výdavky!D393</f>
        <v>0</v>
      </c>
      <c r="I16" s="397">
        <f>SUM(výdavky!E386)</f>
        <v>42</v>
      </c>
      <c r="J16" s="511">
        <f>výdavky!F386</f>
        <v>100</v>
      </c>
      <c r="K16" s="397">
        <f>výdavky!G386</f>
        <v>1100</v>
      </c>
      <c r="L16" s="397">
        <f>výdavky!H393</f>
        <v>0</v>
      </c>
    </row>
    <row r="17" spans="1:12" ht="12.75">
      <c r="A17" s="343">
        <v>10</v>
      </c>
      <c r="B17" s="358">
        <v>2</v>
      </c>
      <c r="C17" s="461" t="s">
        <v>476</v>
      </c>
      <c r="D17" s="360"/>
      <c r="E17" s="360"/>
      <c r="F17" s="361"/>
      <c r="G17" s="362" t="e">
        <f>#REF!</f>
        <v>#REF!</v>
      </c>
      <c r="H17" s="624">
        <f>SUM(H18)</f>
        <v>1600</v>
      </c>
      <c r="I17" s="624">
        <f>SUM(I18)</f>
        <v>110</v>
      </c>
      <c r="J17" s="719">
        <f>SUM(J18)</f>
        <v>1500</v>
      </c>
      <c r="K17" s="624">
        <f>SUM(K18)</f>
        <v>1770</v>
      </c>
      <c r="L17" s="624">
        <f>SUM(L18)</f>
        <v>0</v>
      </c>
    </row>
    <row r="18" spans="1:12" ht="12.75">
      <c r="A18" s="343">
        <v>11</v>
      </c>
      <c r="B18" s="373"/>
      <c r="C18" s="374"/>
      <c r="D18" s="348" t="s">
        <v>230</v>
      </c>
      <c r="E18" s="375"/>
      <c r="F18" s="376"/>
      <c r="G18" s="716">
        <f aca="true" t="shared" si="2" ref="G18:L18">G19</f>
        <v>33.2</v>
      </c>
      <c r="H18" s="378">
        <f t="shared" si="2"/>
        <v>1600</v>
      </c>
      <c r="I18" s="378">
        <f t="shared" si="2"/>
        <v>110</v>
      </c>
      <c r="J18" s="717">
        <f t="shared" si="2"/>
        <v>1500</v>
      </c>
      <c r="K18" s="378">
        <f t="shared" si="2"/>
        <v>1770</v>
      </c>
      <c r="L18" s="378">
        <f t="shared" si="2"/>
        <v>0</v>
      </c>
    </row>
    <row r="19" spans="1:12" ht="12.75">
      <c r="A19" s="343">
        <f aca="true" t="shared" si="3" ref="A19:A26">A18+1</f>
        <v>12</v>
      </c>
      <c r="B19" s="407"/>
      <c r="C19" s="459" t="s">
        <v>477</v>
      </c>
      <c r="D19" s="381" t="s">
        <v>478</v>
      </c>
      <c r="E19" s="382"/>
      <c r="F19" s="383"/>
      <c r="G19" s="718">
        <f>SUM(G20)</f>
        <v>33.2</v>
      </c>
      <c r="H19" s="385">
        <f>SUM(H20:H21)</f>
        <v>1600</v>
      </c>
      <c r="I19" s="385">
        <f>SUM(I20:I21)</f>
        <v>110</v>
      </c>
      <c r="J19" s="509">
        <f>SUM(J20:J21)</f>
        <v>1500</v>
      </c>
      <c r="K19" s="385">
        <f>SUM(K20:K21)</f>
        <v>1770</v>
      </c>
      <c r="L19" s="385">
        <f>SUM(L20:L21)</f>
        <v>0</v>
      </c>
    </row>
    <row r="20" spans="1:12" ht="12.75">
      <c r="A20" s="343">
        <f t="shared" si="3"/>
        <v>13</v>
      </c>
      <c r="B20" s="407"/>
      <c r="C20" s="438" t="s">
        <v>429</v>
      </c>
      <c r="D20" s="437" t="s">
        <v>266</v>
      </c>
      <c r="E20" s="398" t="s">
        <v>479</v>
      </c>
      <c r="F20" s="405"/>
      <c r="G20" s="406">
        <f>ROUND(K20/30.126,1)</f>
        <v>33.2</v>
      </c>
      <c r="H20" s="397">
        <f>výdavky!D387</f>
        <v>1000</v>
      </c>
      <c r="I20" s="397">
        <f>výdavky!E387</f>
        <v>110</v>
      </c>
      <c r="J20" s="511">
        <f>výdavky!F387</f>
        <v>1000</v>
      </c>
      <c r="K20" s="397">
        <f>výdavky!G387</f>
        <v>1000</v>
      </c>
      <c r="L20" s="397">
        <f>výdavky!H387</f>
        <v>0</v>
      </c>
    </row>
    <row r="21" spans="1:12" ht="12.75">
      <c r="A21" s="343">
        <f t="shared" si="3"/>
        <v>14</v>
      </c>
      <c r="B21" s="407"/>
      <c r="C21" s="436" t="s">
        <v>429</v>
      </c>
      <c r="D21" s="437" t="s">
        <v>268</v>
      </c>
      <c r="E21" s="398" t="s">
        <v>480</v>
      </c>
      <c r="F21" s="405"/>
      <c r="G21" s="406"/>
      <c r="H21" s="397">
        <f>výdavky!D385</f>
        <v>600</v>
      </c>
      <c r="I21" s="397">
        <f>výdavky!E385</f>
        <v>0</v>
      </c>
      <c r="J21" s="511">
        <f>výdavky!F385</f>
        <v>500</v>
      </c>
      <c r="K21" s="397">
        <f>výdavky!G385</f>
        <v>770</v>
      </c>
      <c r="L21" s="397">
        <f>výdavky!H385</f>
        <v>0</v>
      </c>
    </row>
    <row r="22" spans="1:12" ht="12.75">
      <c r="A22" s="343">
        <f t="shared" si="3"/>
        <v>15</v>
      </c>
      <c r="B22" s="358">
        <v>3</v>
      </c>
      <c r="C22" s="461" t="s">
        <v>481</v>
      </c>
      <c r="D22" s="360"/>
      <c r="E22" s="360"/>
      <c r="F22" s="361"/>
      <c r="G22" s="362">
        <f>SUM(G24)</f>
        <v>849.5</v>
      </c>
      <c r="H22" s="364">
        <f>H24</f>
        <v>16000</v>
      </c>
      <c r="I22" s="364">
        <f>I24</f>
        <v>12164.199999999999</v>
      </c>
      <c r="J22" s="715">
        <f>J24</f>
        <v>21500</v>
      </c>
      <c r="K22" s="364">
        <f>K24</f>
        <v>25590</v>
      </c>
      <c r="L22" s="364">
        <f>L24</f>
        <v>0</v>
      </c>
    </row>
    <row r="23" spans="1:12" ht="12.75">
      <c r="A23" s="343">
        <f t="shared" si="3"/>
        <v>16</v>
      </c>
      <c r="B23" s="373"/>
      <c r="C23" s="374"/>
      <c r="D23" s="348" t="s">
        <v>230</v>
      </c>
      <c r="E23" s="375"/>
      <c r="F23" s="376"/>
      <c r="G23" s="377">
        <f aca="true" t="shared" si="4" ref="G23:L23">G24</f>
        <v>849.5</v>
      </c>
      <c r="H23" s="378">
        <f t="shared" si="4"/>
        <v>16000</v>
      </c>
      <c r="I23" s="378">
        <f t="shared" si="4"/>
        <v>12164.199999999999</v>
      </c>
      <c r="J23" s="717">
        <f t="shared" si="4"/>
        <v>21500</v>
      </c>
      <c r="K23" s="378">
        <f t="shared" si="4"/>
        <v>25590</v>
      </c>
      <c r="L23" s="378">
        <f t="shared" si="4"/>
        <v>0</v>
      </c>
    </row>
    <row r="24" spans="1:12" ht="12.75">
      <c r="A24" s="343">
        <f t="shared" si="3"/>
        <v>17</v>
      </c>
      <c r="B24" s="373"/>
      <c r="C24" s="459" t="s">
        <v>482</v>
      </c>
      <c r="D24" s="381" t="s">
        <v>481</v>
      </c>
      <c r="E24" s="382"/>
      <c r="F24" s="383"/>
      <c r="G24" s="449">
        <f>SUM(G25:G34)</f>
        <v>849.5</v>
      </c>
      <c r="H24" s="450">
        <f>SUM(H25,H26)</f>
        <v>16000</v>
      </c>
      <c r="I24" s="450">
        <f>SUM(I25,I26)</f>
        <v>12164.199999999999</v>
      </c>
      <c r="J24" s="720">
        <f>SUM(J25,J26)</f>
        <v>21500</v>
      </c>
      <c r="K24" s="450">
        <f>SUM(K25,K26)</f>
        <v>25590</v>
      </c>
      <c r="L24" s="450">
        <f>SUM(L25,L26)</f>
        <v>0</v>
      </c>
    </row>
    <row r="25" spans="1:12" ht="12.75">
      <c r="A25" s="343">
        <f t="shared" si="3"/>
        <v>18</v>
      </c>
      <c r="B25" s="407"/>
      <c r="C25" s="438" t="s">
        <v>442</v>
      </c>
      <c r="D25" s="437" t="s">
        <v>266</v>
      </c>
      <c r="E25" s="398" t="s">
        <v>443</v>
      </c>
      <c r="F25" s="405"/>
      <c r="G25" s="406">
        <f>ROUND(K25/30.126,1)</f>
        <v>716.7</v>
      </c>
      <c r="H25" s="397">
        <f>výdavky!D389+výdavky!D390</f>
        <v>15000</v>
      </c>
      <c r="I25" s="397">
        <f>výdavky!E389+výdavky!E390</f>
        <v>10610.38</v>
      </c>
      <c r="J25" s="721">
        <f>výdavky!F389+výdavky!F390</f>
        <v>19000</v>
      </c>
      <c r="K25" s="397">
        <f>výdavky!G389+výdavky!G390</f>
        <v>21590</v>
      </c>
      <c r="L25" s="397">
        <f>výdavky!H389</f>
        <v>0</v>
      </c>
    </row>
    <row r="26" spans="1:12" ht="12.75">
      <c r="A26" s="343">
        <f t="shared" si="3"/>
        <v>19</v>
      </c>
      <c r="B26" s="407"/>
      <c r="C26" s="438" t="s">
        <v>444</v>
      </c>
      <c r="D26" s="437" t="s">
        <v>268</v>
      </c>
      <c r="E26" s="398" t="s">
        <v>421</v>
      </c>
      <c r="F26" s="405"/>
      <c r="G26" s="406">
        <f>ROUND(K26/30.126,1)</f>
        <v>132.8</v>
      </c>
      <c r="H26" s="397">
        <f>výdavky!D391</f>
        <v>1000</v>
      </c>
      <c r="I26" s="397">
        <f>výdavky!E391</f>
        <v>1553.82</v>
      </c>
      <c r="J26" s="721">
        <f>výdavky!F391</f>
        <v>2500</v>
      </c>
      <c r="K26" s="397">
        <f>výdavky!G391</f>
        <v>4000</v>
      </c>
      <c r="L26" s="397">
        <f>výdavky!H391</f>
        <v>0</v>
      </c>
    </row>
    <row r="27" spans="1:12" ht="12.75">
      <c r="A27" s="343">
        <v>20</v>
      </c>
      <c r="B27" s="407"/>
      <c r="C27" s="436"/>
      <c r="D27" s="1268" t="s">
        <v>232</v>
      </c>
      <c r="E27" s="1268"/>
      <c r="F27" s="404"/>
      <c r="G27" s="722"/>
      <c r="H27" s="671">
        <f aca="true" t="shared" si="5" ref="H27:L28">SUM(H28)</f>
        <v>0</v>
      </c>
      <c r="I27" s="671">
        <f t="shared" si="5"/>
        <v>0</v>
      </c>
      <c r="J27" s="672">
        <f t="shared" si="5"/>
        <v>190000</v>
      </c>
      <c r="K27" s="671">
        <f t="shared" si="5"/>
        <v>0</v>
      </c>
      <c r="L27" s="671">
        <f t="shared" si="5"/>
        <v>0</v>
      </c>
    </row>
    <row r="28" spans="1:12" ht="12.75">
      <c r="A28" s="343">
        <v>21</v>
      </c>
      <c r="B28" s="407"/>
      <c r="C28" s="459" t="s">
        <v>482</v>
      </c>
      <c r="D28" s="381" t="s">
        <v>481</v>
      </c>
      <c r="E28" s="382"/>
      <c r="F28" s="383"/>
      <c r="G28" s="449">
        <f>SUM(G29:G38)</f>
        <v>0</v>
      </c>
      <c r="H28" s="450">
        <f t="shared" si="5"/>
        <v>0</v>
      </c>
      <c r="I28" s="450">
        <f t="shared" si="5"/>
        <v>0</v>
      </c>
      <c r="J28" s="720">
        <f t="shared" si="5"/>
        <v>190000</v>
      </c>
      <c r="K28" s="450">
        <f t="shared" si="5"/>
        <v>0</v>
      </c>
      <c r="L28" s="450">
        <f t="shared" si="5"/>
        <v>0</v>
      </c>
    </row>
    <row r="29" spans="1:12" ht="12.75">
      <c r="A29" s="343">
        <v>22</v>
      </c>
      <c r="B29" s="407"/>
      <c r="C29" s="436" t="s">
        <v>348</v>
      </c>
      <c r="D29" s="437" t="s">
        <v>279</v>
      </c>
      <c r="E29" s="398" t="s">
        <v>99</v>
      </c>
      <c r="F29" s="405"/>
      <c r="G29" s="406"/>
      <c r="H29" s="397">
        <v>0</v>
      </c>
      <c r="I29" s="397">
        <v>0</v>
      </c>
      <c r="J29" s="721">
        <f>výdavky!F459</f>
        <v>190000</v>
      </c>
      <c r="K29" s="397">
        <f>výdavky!G459</f>
        <v>0</v>
      </c>
      <c r="L29" s="397">
        <f>výdavky!H459</f>
        <v>0</v>
      </c>
    </row>
    <row r="30" spans="1:12" ht="12.75">
      <c r="A30" s="343">
        <v>23</v>
      </c>
      <c r="B30" s="723">
        <v>4</v>
      </c>
      <c r="C30" s="1261" t="s">
        <v>483</v>
      </c>
      <c r="D30" s="1261"/>
      <c r="E30" s="1261"/>
      <c r="F30" s="724"/>
      <c r="G30" s="725"/>
      <c r="H30" s="537">
        <f aca="true" t="shared" si="6" ref="H30:L31">SUM(H31)</f>
        <v>17500</v>
      </c>
      <c r="I30" s="537">
        <f t="shared" si="6"/>
        <v>13031.810000000001</v>
      </c>
      <c r="J30" s="726">
        <f t="shared" si="6"/>
        <v>20950</v>
      </c>
      <c r="K30" s="537">
        <f t="shared" si="6"/>
        <v>23490</v>
      </c>
      <c r="L30" s="537">
        <f t="shared" si="6"/>
        <v>0</v>
      </c>
    </row>
    <row r="31" spans="1:12" ht="12.75">
      <c r="A31" s="343">
        <v>24</v>
      </c>
      <c r="B31" s="407"/>
      <c r="C31" s="436"/>
      <c r="D31" s="348" t="s">
        <v>230</v>
      </c>
      <c r="E31" s="375"/>
      <c r="F31" s="376"/>
      <c r="G31" s="578"/>
      <c r="H31" s="671">
        <f t="shared" si="6"/>
        <v>17500</v>
      </c>
      <c r="I31" s="671">
        <f t="shared" si="6"/>
        <v>13031.810000000001</v>
      </c>
      <c r="J31" s="727">
        <f t="shared" si="6"/>
        <v>20950</v>
      </c>
      <c r="K31" s="671">
        <f t="shared" si="6"/>
        <v>23490</v>
      </c>
      <c r="L31" s="671">
        <f t="shared" si="6"/>
        <v>0</v>
      </c>
    </row>
    <row r="32" spans="1:12" ht="12.75">
      <c r="A32" s="343">
        <v>25</v>
      </c>
      <c r="B32" s="407"/>
      <c r="C32" s="459" t="s">
        <v>484</v>
      </c>
      <c r="D32" s="381" t="s">
        <v>485</v>
      </c>
      <c r="E32" s="382"/>
      <c r="F32" s="383"/>
      <c r="G32" s="406"/>
      <c r="H32" s="614">
        <f>SUM(H33,H34,H35)</f>
        <v>17500</v>
      </c>
      <c r="I32" s="614">
        <f>SUM(I33,I34,I35)</f>
        <v>13031.810000000001</v>
      </c>
      <c r="J32" s="728">
        <f>SUM(J33,J34,J35)</f>
        <v>20950</v>
      </c>
      <c r="K32" s="614">
        <f>SUM(K33,K34,K35)</f>
        <v>23490</v>
      </c>
      <c r="L32" s="614">
        <f>SUM(L33,L34,L35)</f>
        <v>0</v>
      </c>
    </row>
    <row r="33" spans="1:12" ht="12.75">
      <c r="A33" s="343">
        <v>26</v>
      </c>
      <c r="B33" s="407"/>
      <c r="C33" s="436" t="s">
        <v>429</v>
      </c>
      <c r="D33" s="437" t="s">
        <v>266</v>
      </c>
      <c r="E33" s="684" t="s">
        <v>486</v>
      </c>
      <c r="F33" s="729"/>
      <c r="G33" s="730"/>
      <c r="H33" s="687">
        <f>výdavky!D397</f>
        <v>14500</v>
      </c>
      <c r="I33" s="687">
        <f>výdavky!E397</f>
        <v>8625.95</v>
      </c>
      <c r="J33" s="731">
        <f>výdavky!F397</f>
        <v>14500</v>
      </c>
      <c r="K33" s="687">
        <f>výdavky!G397</f>
        <v>13620</v>
      </c>
      <c r="L33" s="687">
        <f>výdavky!H397</f>
        <v>0</v>
      </c>
    </row>
    <row r="34" spans="1:12" ht="12.75">
      <c r="A34" s="343">
        <v>27</v>
      </c>
      <c r="B34" s="407"/>
      <c r="C34" s="436" t="s">
        <v>429</v>
      </c>
      <c r="D34" s="437" t="s">
        <v>268</v>
      </c>
      <c r="E34" s="684" t="s">
        <v>487</v>
      </c>
      <c r="F34" s="729"/>
      <c r="G34" s="730"/>
      <c r="H34" s="687">
        <f>výdavky!D398</f>
        <v>1500</v>
      </c>
      <c r="I34" s="687">
        <f>výdavky!E398</f>
        <v>749.7</v>
      </c>
      <c r="J34" s="731">
        <f>výdavky!F398</f>
        <v>1350</v>
      </c>
      <c r="K34" s="687">
        <f>výdavky!G398</f>
        <v>2050</v>
      </c>
      <c r="L34" s="687">
        <f>výdavky!H398</f>
        <v>0</v>
      </c>
    </row>
    <row r="35" spans="1:12" ht="12.75">
      <c r="A35" s="468">
        <v>28</v>
      </c>
      <c r="B35" s="642"/>
      <c r="C35" s="513"/>
      <c r="D35" s="514" t="s">
        <v>279</v>
      </c>
      <c r="E35" s="732" t="s">
        <v>488</v>
      </c>
      <c r="F35" s="595"/>
      <c r="G35" s="733"/>
      <c r="H35" s="734">
        <f>výdavky!D399</f>
        <v>1500</v>
      </c>
      <c r="I35" s="734">
        <f>výdavky!E399</f>
        <v>3656.16</v>
      </c>
      <c r="J35" s="735">
        <f>výdavky!F399</f>
        <v>5100</v>
      </c>
      <c r="K35" s="734">
        <f>výdavky!G399</f>
        <v>7820</v>
      </c>
      <c r="L35" s="734">
        <f>výdavky!H396</f>
        <v>0</v>
      </c>
    </row>
  </sheetData>
  <sheetProtection/>
  <mergeCells count="4">
    <mergeCell ref="G3:L3"/>
    <mergeCell ref="D4:F6"/>
    <mergeCell ref="D27:E27"/>
    <mergeCell ref="C30:E30"/>
  </mergeCells>
  <printOptions/>
  <pageMargins left="0.7875" right="0.39375" top="0.7875" bottom="0.7875" header="0.5118055555555556" footer="0.5118055555555556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1.140625" style="0" customWidth="1"/>
    <col min="3" max="8" width="10.7109375" style="0" customWidth="1"/>
    <col min="10" max="10" width="11.57421875" style="0" customWidth="1"/>
  </cols>
  <sheetData>
    <row r="1" spans="1:8" ht="15.75">
      <c r="A1" s="1278" t="s">
        <v>489</v>
      </c>
      <c r="B1" s="1278"/>
      <c r="C1" s="1278"/>
      <c r="D1" s="1278"/>
      <c r="E1" s="1278"/>
      <c r="F1" s="1278"/>
      <c r="G1" s="1278"/>
      <c r="H1" s="1278"/>
    </row>
    <row r="2" spans="1:8" s="736" customFormat="1" ht="15.75">
      <c r="A2" s="1278"/>
      <c r="B2" s="1278"/>
      <c r="C2" s="1278"/>
      <c r="D2" s="1278"/>
      <c r="E2" s="1278"/>
      <c r="F2" s="1278"/>
      <c r="G2" s="1278"/>
      <c r="H2" s="1278"/>
    </row>
    <row r="3" spans="1:8" ht="12.75">
      <c r="A3" s="737"/>
      <c r="B3" s="737"/>
      <c r="C3" s="737"/>
      <c r="D3" s="737"/>
      <c r="E3" s="737"/>
      <c r="F3" s="737"/>
      <c r="G3" s="738"/>
      <c r="H3" s="738"/>
    </row>
    <row r="4" spans="1:8" ht="12.75">
      <c r="A4" s="737"/>
      <c r="B4" s="737"/>
      <c r="C4" s="737"/>
      <c r="D4" s="737"/>
      <c r="E4" s="737"/>
      <c r="F4" s="737"/>
      <c r="G4" s="738"/>
      <c r="H4" s="738"/>
    </row>
    <row r="5" spans="1:8" ht="12.75">
      <c r="A5" s="739" t="s">
        <v>490</v>
      </c>
      <c r="B5" s="740"/>
      <c r="C5" s="1279" t="s">
        <v>491</v>
      </c>
      <c r="D5" s="1279"/>
      <c r="E5" s="1279"/>
      <c r="F5" s="1279"/>
      <c r="G5" s="1279"/>
      <c r="H5" s="1279"/>
    </row>
    <row r="6" spans="1:8" ht="12.75">
      <c r="A6" s="741"/>
      <c r="B6" s="742"/>
      <c r="C6" s="743">
        <v>2014</v>
      </c>
      <c r="D6" s="743" t="s">
        <v>108</v>
      </c>
      <c r="E6" s="743" t="s">
        <v>219</v>
      </c>
      <c r="F6" s="743" t="s">
        <v>220</v>
      </c>
      <c r="G6" s="1276" t="s">
        <v>492</v>
      </c>
      <c r="H6" s="1276"/>
    </row>
    <row r="7" spans="1:8" ht="12.75">
      <c r="A7" s="741"/>
      <c r="B7" s="742"/>
      <c r="C7" s="744" t="s">
        <v>224</v>
      </c>
      <c r="D7" s="744" t="s">
        <v>224</v>
      </c>
      <c r="E7" s="744" t="s">
        <v>224</v>
      </c>
      <c r="F7" s="744" t="s">
        <v>224</v>
      </c>
      <c r="G7" s="745" t="s">
        <v>225</v>
      </c>
      <c r="H7" s="745" t="s">
        <v>493</v>
      </c>
    </row>
    <row r="8" spans="1:8" ht="12.75">
      <c r="A8" s="746"/>
      <c r="B8" s="747"/>
      <c r="C8" s="748">
        <v>0</v>
      </c>
      <c r="D8" s="748">
        <v>1</v>
      </c>
      <c r="E8" s="749">
        <v>2</v>
      </c>
      <c r="F8" s="750">
        <v>3</v>
      </c>
      <c r="G8" s="750">
        <v>4</v>
      </c>
      <c r="H8" s="750">
        <v>5</v>
      </c>
    </row>
    <row r="9" spans="1:8" ht="12.75">
      <c r="A9" s="751" t="s">
        <v>494</v>
      </c>
      <c r="B9" s="752"/>
      <c r="C9" s="753"/>
      <c r="D9" s="753"/>
      <c r="E9" s="753"/>
      <c r="F9" s="753"/>
      <c r="G9" s="754"/>
      <c r="H9" s="754"/>
    </row>
    <row r="10" spans="1:8" ht="12.75">
      <c r="A10" s="755" t="s">
        <v>1</v>
      </c>
      <c r="B10" s="756"/>
      <c r="C10" s="757">
        <v>1518953</v>
      </c>
      <c r="D10" s="757">
        <f>SUM(príjmy!K170)</f>
        <v>763702.13</v>
      </c>
      <c r="E10" s="757">
        <f>SUM(príjmy!L170)</f>
        <v>1543503</v>
      </c>
      <c r="F10" s="757">
        <f>príjmy!M170</f>
        <v>1614323</v>
      </c>
      <c r="G10" s="757">
        <f>F10-E10</f>
        <v>70820</v>
      </c>
      <c r="H10" s="758">
        <f>G10/E10*100</f>
        <v>4.58826448669034</v>
      </c>
    </row>
    <row r="11" spans="1:11" ht="12.75">
      <c r="A11" s="755" t="s">
        <v>89</v>
      </c>
      <c r="B11" s="756"/>
      <c r="C11" s="757">
        <v>738000</v>
      </c>
      <c r="D11" s="757">
        <f>SUM(príjmy!K171)</f>
        <v>33954.33</v>
      </c>
      <c r="E11" s="757">
        <f>SUM(príjmy!L171)</f>
        <v>468460</v>
      </c>
      <c r="F11" s="757">
        <f>príjmy!M171</f>
        <v>282356</v>
      </c>
      <c r="G11" s="757">
        <f>F11-E11</f>
        <v>-186104</v>
      </c>
      <c r="H11" s="758">
        <f>G11/E11*100</f>
        <v>-39.726764291508346</v>
      </c>
      <c r="I11" s="309"/>
      <c r="J11" s="677"/>
      <c r="K11" s="309"/>
    </row>
    <row r="12" spans="1:12" ht="12.75">
      <c r="A12" s="759" t="s">
        <v>495</v>
      </c>
      <c r="B12" s="760"/>
      <c r="C12" s="761">
        <v>0</v>
      </c>
      <c r="D12" s="761">
        <f>SUM(príjmy!K172)</f>
        <v>0</v>
      </c>
      <c r="E12" s="761">
        <f>SUM(príjmy!L172)</f>
        <v>0</v>
      </c>
      <c r="F12" s="761">
        <f>príjmy!M172</f>
        <v>0</v>
      </c>
      <c r="G12" s="757">
        <f>F12-E12</f>
        <v>0</v>
      </c>
      <c r="H12" s="762">
        <f>SUM(výdavky!H486)</f>
        <v>0</v>
      </c>
      <c r="I12" s="309"/>
      <c r="J12" s="312"/>
      <c r="K12" s="312"/>
      <c r="L12" s="309"/>
    </row>
    <row r="13" spans="1:11" ht="12.75">
      <c r="A13" s="763" t="s">
        <v>496</v>
      </c>
      <c r="B13" s="764"/>
      <c r="C13" s="765">
        <f>SUM(C10,C11,C12)</f>
        <v>2256953</v>
      </c>
      <c r="D13" s="765">
        <f>SUM(D10,D11,D12)</f>
        <v>797656.46</v>
      </c>
      <c r="E13" s="765">
        <f>SUM(E10,E11,E12)</f>
        <v>2011963</v>
      </c>
      <c r="F13" s="765">
        <f>príjmy!M174</f>
        <v>1896679</v>
      </c>
      <c r="G13" s="1227">
        <f>F13-E13</f>
        <v>-115284</v>
      </c>
      <c r="H13" s="766">
        <f>G13/E13*100</f>
        <v>-5.729926444969415</v>
      </c>
      <c r="J13" s="767"/>
      <c r="K13" s="767"/>
    </row>
    <row r="14" spans="1:12" ht="12.75">
      <c r="A14" s="768"/>
      <c r="B14" s="769"/>
      <c r="C14" s="770"/>
      <c r="D14" s="770"/>
      <c r="E14" s="770"/>
      <c r="F14" s="770"/>
      <c r="G14" s="757"/>
      <c r="H14" s="771"/>
      <c r="J14" s="767"/>
      <c r="K14" s="767"/>
      <c r="L14" s="309"/>
    </row>
    <row r="15" spans="1:11" ht="12.75">
      <c r="A15" s="772" t="s">
        <v>497</v>
      </c>
      <c r="B15" s="773"/>
      <c r="C15" s="757"/>
      <c r="D15" s="757"/>
      <c r="E15" s="757"/>
      <c r="F15" s="757"/>
      <c r="G15" s="757"/>
      <c r="H15" s="758"/>
      <c r="J15" s="767"/>
      <c r="K15" s="767"/>
    </row>
    <row r="16" spans="1:10" ht="12.75">
      <c r="A16" s="759" t="s">
        <v>498</v>
      </c>
      <c r="B16" s="760"/>
      <c r="C16" s="761">
        <v>1378249</v>
      </c>
      <c r="D16" s="761">
        <f>SUM(výdavky!E479)</f>
        <v>681558.09</v>
      </c>
      <c r="E16" s="761">
        <f>SUM('Program 1'!J8,'Program 2'!J8,'Program 3'!J8,'Program 4'!J8,'Program 5'!J8,'Program 6'!J8,'Program 7'!J8,'Program 8'!J8,'Program 9'!J8,'Program 10'!J8)</f>
        <v>1406385</v>
      </c>
      <c r="F16" s="761">
        <f>výdavky!G479</f>
        <v>1497658.2</v>
      </c>
      <c r="G16" s="757">
        <f>F16-E16</f>
        <v>91273.19999999995</v>
      </c>
      <c r="H16" s="762">
        <f>G16/E16*100</f>
        <v>6.489915634765726</v>
      </c>
      <c r="J16" s="309"/>
    </row>
    <row r="17" spans="1:11" ht="12.75">
      <c r="A17" s="755" t="s">
        <v>499</v>
      </c>
      <c r="B17" s="756"/>
      <c r="C17" s="757">
        <f>SUM(výdavky!D480)</f>
        <v>723500</v>
      </c>
      <c r="D17" s="757">
        <f>SUM(výdavky!E480)</f>
        <v>5940</v>
      </c>
      <c r="E17" s="757">
        <f>SUM('Program 1'!J9,'Program 2'!J9,'Program 3'!J9,'Program 4'!J9,'Program 5'!J9,'Program 6'!J9,'Program 7'!J9,'Program 8'!J9,'Program 9'!J9,'Program 10'!J9)</f>
        <v>516960</v>
      </c>
      <c r="F17" s="757">
        <f>výdavky!G480</f>
        <v>311704</v>
      </c>
      <c r="G17" s="757">
        <f>F17-E17</f>
        <v>-205256</v>
      </c>
      <c r="H17" s="758">
        <f>G17/E17*100</f>
        <v>-39.704425874342306</v>
      </c>
      <c r="I17" s="309"/>
      <c r="K17" s="309"/>
    </row>
    <row r="18" spans="1:11" ht="12.75">
      <c r="A18" s="774" t="s">
        <v>500</v>
      </c>
      <c r="B18" s="775"/>
      <c r="C18" s="761">
        <f>SUM(výdavky!D481)</f>
        <v>155204</v>
      </c>
      <c r="D18" s="761">
        <f>SUM(výdavky!E481)</f>
        <v>20000</v>
      </c>
      <c r="E18" s="761">
        <f>SUM('Program 1'!J10,'Program 2'!J10,'Program 3'!J10,'Program 4'!J10,'Program 5'!J10,'Program 6'!J10,'Program 7'!J10,'Program 8'!J10,'Program 9'!J10,'Program 10'!J10)</f>
        <v>60000</v>
      </c>
      <c r="F18" s="761">
        <f>výdavky!G481</f>
        <v>60000</v>
      </c>
      <c r="G18" s="757">
        <f>F18-E18</f>
        <v>0</v>
      </c>
      <c r="H18" s="762">
        <f>G18/E18*100</f>
        <v>0</v>
      </c>
      <c r="I18" s="309"/>
      <c r="K18" s="309"/>
    </row>
    <row r="19" spans="1:11" ht="12.75">
      <c r="A19" s="763" t="s">
        <v>501</v>
      </c>
      <c r="B19" s="776"/>
      <c r="C19" s="765">
        <f>SUM(C16,C17,C18)</f>
        <v>2256953</v>
      </c>
      <c r="D19" s="765">
        <f>SUM(D16,D17,D18)</f>
        <v>707498.09</v>
      </c>
      <c r="E19" s="765">
        <f>SUM(E16,E17,E18)</f>
        <v>1983345</v>
      </c>
      <c r="F19" s="765">
        <f>výdavky!G482</f>
        <v>1869362.2</v>
      </c>
      <c r="G19" s="1227">
        <f>F19-E19</f>
        <v>-113982.80000000005</v>
      </c>
      <c r="H19" s="766">
        <f>G19/E19*100</f>
        <v>-5.746998126901777</v>
      </c>
      <c r="I19" s="309"/>
      <c r="K19" s="309"/>
    </row>
    <row r="20" spans="1:8" ht="12.75">
      <c r="A20" s="777"/>
      <c r="B20" s="760"/>
      <c r="C20" s="761"/>
      <c r="D20" s="761"/>
      <c r="E20" s="761"/>
      <c r="F20" s="761"/>
      <c r="G20" s="757">
        <f>E20-F20</f>
        <v>0</v>
      </c>
      <c r="H20" s="761"/>
    </row>
    <row r="21" spans="1:8" ht="12.75">
      <c r="A21" s="1274" t="s">
        <v>502</v>
      </c>
      <c r="B21" s="1274"/>
      <c r="C21" s="778">
        <f>SUM(C13-C19)</f>
        <v>0</v>
      </c>
      <c r="D21" s="778">
        <f>SUM(D13-D19)</f>
        <v>90158.37</v>
      </c>
      <c r="E21" s="778">
        <f>SUM(E13-E19)</f>
        <v>28618</v>
      </c>
      <c r="F21" s="778">
        <f>F13-F19</f>
        <v>27316.800000000047</v>
      </c>
      <c r="G21" s="1228">
        <f>F21-E21</f>
        <v>-1301.1999999999534</v>
      </c>
      <c r="H21" s="778">
        <f>G21/E21*100</f>
        <v>-4.546788734362826</v>
      </c>
    </row>
    <row r="24" spans="1:8" ht="12.75">
      <c r="A24" s="739" t="s">
        <v>503</v>
      </c>
      <c r="B24" s="740"/>
      <c r="C24" s="1275" t="s">
        <v>491</v>
      </c>
      <c r="D24" s="1275"/>
      <c r="E24" s="1275"/>
      <c r="F24" s="1275"/>
      <c r="G24" s="1275"/>
      <c r="H24" s="1275"/>
    </row>
    <row r="25" spans="1:8" ht="12.75">
      <c r="A25" s="741"/>
      <c r="B25" s="742"/>
      <c r="C25" s="743">
        <v>2014</v>
      </c>
      <c r="D25" s="743" t="s">
        <v>108</v>
      </c>
      <c r="E25" s="743" t="s">
        <v>219</v>
      </c>
      <c r="F25" s="743" t="s">
        <v>110</v>
      </c>
      <c r="G25" s="1276" t="s">
        <v>492</v>
      </c>
      <c r="H25" s="1276"/>
    </row>
    <row r="26" spans="1:8" ht="12.75">
      <c r="A26" s="741"/>
      <c r="B26" s="742"/>
      <c r="C26" s="744" t="s">
        <v>224</v>
      </c>
      <c r="D26" s="744" t="s">
        <v>224</v>
      </c>
      <c r="E26" s="744" t="s">
        <v>224</v>
      </c>
      <c r="F26" s="745" t="s">
        <v>224</v>
      </c>
      <c r="G26" s="745" t="s">
        <v>225</v>
      </c>
      <c r="H26" s="745" t="s">
        <v>493</v>
      </c>
    </row>
    <row r="27" spans="1:8" ht="12.75">
      <c r="A27" s="746"/>
      <c r="B27" s="747"/>
      <c r="C27" s="779">
        <v>0</v>
      </c>
      <c r="D27" s="779">
        <v>1</v>
      </c>
      <c r="E27" s="780">
        <v>2</v>
      </c>
      <c r="F27" s="781">
        <v>3</v>
      </c>
      <c r="G27" s="781">
        <v>4</v>
      </c>
      <c r="H27" s="781">
        <v>5</v>
      </c>
    </row>
    <row r="28" spans="1:8" ht="12.75">
      <c r="A28" s="1277" t="s">
        <v>1</v>
      </c>
      <c r="B28" s="1277"/>
      <c r="C28" s="782">
        <f>C10</f>
        <v>1518953</v>
      </c>
      <c r="D28" s="783">
        <f>D10</f>
        <v>763702.13</v>
      </c>
      <c r="E28" s="783">
        <f>E10</f>
        <v>1543503</v>
      </c>
      <c r="F28" s="783">
        <f>F10</f>
        <v>1614323</v>
      </c>
      <c r="G28" s="1227">
        <f>F28-E28</f>
        <v>70820</v>
      </c>
      <c r="H28" s="784">
        <f>G28/E28*100</f>
        <v>4.58826448669034</v>
      </c>
    </row>
    <row r="29" spans="1:8" ht="12.75">
      <c r="A29" s="1269" t="s">
        <v>498</v>
      </c>
      <c r="B29" s="1269"/>
      <c r="C29" s="785">
        <f>SUM(C16)</f>
        <v>1378249</v>
      </c>
      <c r="D29" s="786">
        <f>D16</f>
        <v>681558.09</v>
      </c>
      <c r="E29" s="786">
        <f>E16</f>
        <v>1406385</v>
      </c>
      <c r="F29" s="786">
        <f>F16</f>
        <v>1497658.2</v>
      </c>
      <c r="G29" s="1229">
        <f>F29-E29</f>
        <v>91273.19999999995</v>
      </c>
      <c r="H29" s="787">
        <f>G29/E29*100</f>
        <v>6.489915634765726</v>
      </c>
    </row>
    <row r="30" spans="1:8" ht="12.75">
      <c r="A30" s="1271" t="s">
        <v>492</v>
      </c>
      <c r="B30" s="1271"/>
      <c r="C30" s="788">
        <f>C28-C29</f>
        <v>140704</v>
      </c>
      <c r="D30" s="789">
        <f>D28-D29</f>
        <v>82144.04000000004</v>
      </c>
      <c r="E30" s="789">
        <f>E28-E29</f>
        <v>137118</v>
      </c>
      <c r="F30" s="789">
        <f>F28-F29</f>
        <v>116664.80000000005</v>
      </c>
      <c r="G30" s="1230">
        <f>F30-E30</f>
        <v>-20453.199999999953</v>
      </c>
      <c r="H30" s="790">
        <f>G30/E30*100</f>
        <v>-14.916495281436394</v>
      </c>
    </row>
    <row r="31" spans="1:8" ht="12.75">
      <c r="A31" s="1272"/>
      <c r="B31" s="1272"/>
      <c r="C31" s="791"/>
      <c r="D31" s="791"/>
      <c r="E31" s="307"/>
      <c r="F31" s="307"/>
      <c r="G31" s="757"/>
      <c r="H31" s="792"/>
    </row>
    <row r="32" spans="1:8" ht="12.75">
      <c r="A32" s="1273" t="s">
        <v>89</v>
      </c>
      <c r="B32" s="1273"/>
      <c r="C32" s="793">
        <f>C11</f>
        <v>738000</v>
      </c>
      <c r="D32" s="794">
        <f>D11</f>
        <v>33954.33</v>
      </c>
      <c r="E32" s="795">
        <f>SUM(E11)</f>
        <v>468460</v>
      </c>
      <c r="F32" s="795">
        <f>F11</f>
        <v>282356</v>
      </c>
      <c r="G32" s="1227">
        <f>F32-E32</f>
        <v>-186104</v>
      </c>
      <c r="H32" s="796">
        <f>G32/E32*100</f>
        <v>-39.726764291508346</v>
      </c>
    </row>
    <row r="33" spans="1:8" ht="12.75">
      <c r="A33" s="1269" t="s">
        <v>499</v>
      </c>
      <c r="B33" s="1269"/>
      <c r="C33" s="797">
        <f>C17</f>
        <v>723500</v>
      </c>
      <c r="D33" s="798">
        <f>D17</f>
        <v>5940</v>
      </c>
      <c r="E33" s="799">
        <f>SUM(E17)</f>
        <v>516960</v>
      </c>
      <c r="F33" s="799">
        <f>F17</f>
        <v>311704</v>
      </c>
      <c r="G33" s="1229">
        <f>F33-E33</f>
        <v>-205256</v>
      </c>
      <c r="H33" s="800">
        <f>G33/E33*100</f>
        <v>-39.704425874342306</v>
      </c>
    </row>
    <row r="34" spans="1:8" ht="12.75">
      <c r="A34" s="1271" t="s">
        <v>492</v>
      </c>
      <c r="B34" s="1271"/>
      <c r="C34" s="801">
        <f>C32-C33</f>
        <v>14500</v>
      </c>
      <c r="D34" s="802">
        <f>D32-D33</f>
        <v>28014.33</v>
      </c>
      <c r="E34" s="802">
        <f>E32-E33</f>
        <v>-48500</v>
      </c>
      <c r="F34" s="802">
        <f>F32-F33</f>
        <v>-29348</v>
      </c>
      <c r="G34" s="1230">
        <f>F34-E34</f>
        <v>19152</v>
      </c>
      <c r="H34" s="803">
        <f>G34/E34*100</f>
        <v>-39.488659793814435</v>
      </c>
    </row>
    <row r="35" spans="1:8" ht="12.75">
      <c r="A35" s="1272"/>
      <c r="B35" s="1272"/>
      <c r="C35" s="791"/>
      <c r="D35" s="791"/>
      <c r="E35" s="307"/>
      <c r="F35" s="307"/>
      <c r="G35" s="757"/>
      <c r="H35" s="792"/>
    </row>
    <row r="36" spans="1:8" ht="12.75">
      <c r="A36" s="1273" t="s">
        <v>101</v>
      </c>
      <c r="B36" s="1273"/>
      <c r="C36" s="793">
        <f>C12</f>
        <v>0</v>
      </c>
      <c r="D36" s="794">
        <f>D12</f>
        <v>0</v>
      </c>
      <c r="E36" s="795">
        <f>SUM(E12)</f>
        <v>0</v>
      </c>
      <c r="F36" s="795">
        <f>F12</f>
        <v>0</v>
      </c>
      <c r="G36" s="1227">
        <f>F36-E36</f>
        <v>0</v>
      </c>
      <c r="H36" s="796">
        <f>SUM(H12)</f>
        <v>0</v>
      </c>
    </row>
    <row r="37" spans="1:8" ht="12.75">
      <c r="A37" s="1269" t="s">
        <v>504</v>
      </c>
      <c r="B37" s="1269"/>
      <c r="C37" s="797">
        <f>C18</f>
        <v>155204</v>
      </c>
      <c r="D37" s="798">
        <f>D18</f>
        <v>20000</v>
      </c>
      <c r="E37" s="799">
        <f>SUM(E18)</f>
        <v>60000</v>
      </c>
      <c r="F37" s="799">
        <f>F18</f>
        <v>60000</v>
      </c>
      <c r="G37" s="1229">
        <f>F37-E37</f>
        <v>0</v>
      </c>
      <c r="H37" s="800">
        <f>G37/E37*100</f>
        <v>0</v>
      </c>
    </row>
    <row r="38" spans="1:8" ht="12.75">
      <c r="A38" s="1271" t="s">
        <v>492</v>
      </c>
      <c r="B38" s="1271"/>
      <c r="C38" s="801">
        <f>C36-C37</f>
        <v>-155204</v>
      </c>
      <c r="D38" s="802">
        <f>D36-D37</f>
        <v>-20000</v>
      </c>
      <c r="E38" s="802">
        <f>E36-E37</f>
        <v>-60000</v>
      </c>
      <c r="F38" s="802">
        <f>F36-F37</f>
        <v>-60000</v>
      </c>
      <c r="G38" s="1230">
        <f>F38-E38</f>
        <v>0</v>
      </c>
      <c r="H38" s="803">
        <f>G38/E38*100</f>
        <v>0</v>
      </c>
    </row>
    <row r="39" spans="1:8" ht="12.75">
      <c r="A39" s="1272"/>
      <c r="B39" s="1272"/>
      <c r="C39" s="307"/>
      <c r="D39" s="307"/>
      <c r="E39" s="307"/>
      <c r="F39" s="307"/>
      <c r="G39" s="757"/>
      <c r="H39" s="792"/>
    </row>
    <row r="40" spans="1:8" ht="12.75">
      <c r="A40" s="1273" t="s">
        <v>505</v>
      </c>
      <c r="B40" s="1273"/>
      <c r="C40" s="793">
        <f>C13</f>
        <v>2256953</v>
      </c>
      <c r="D40" s="794">
        <f>D13</f>
        <v>797656.46</v>
      </c>
      <c r="E40" s="795">
        <f>SUM(E13)</f>
        <v>2011963</v>
      </c>
      <c r="F40" s="795">
        <f>F13</f>
        <v>1896679</v>
      </c>
      <c r="G40" s="1227">
        <f>F40-E40</f>
        <v>-115284</v>
      </c>
      <c r="H40" s="796">
        <f>G40/E40*100</f>
        <v>-5.729926444969415</v>
      </c>
    </row>
    <row r="41" spans="1:8" ht="12.75">
      <c r="A41" s="1269" t="s">
        <v>506</v>
      </c>
      <c r="B41" s="1269"/>
      <c r="C41" s="797">
        <f>C19</f>
        <v>2256953</v>
      </c>
      <c r="D41" s="798">
        <f>D19</f>
        <v>707498.09</v>
      </c>
      <c r="E41" s="799">
        <f>SUM(E19)</f>
        <v>1983345</v>
      </c>
      <c r="F41" s="799">
        <f>F19</f>
        <v>1869362.2</v>
      </c>
      <c r="G41" s="1229">
        <f>F41-E41</f>
        <v>-113982.80000000005</v>
      </c>
      <c r="H41" s="800">
        <f>G41/E41*100</f>
        <v>-5.746998126901777</v>
      </c>
    </row>
    <row r="42" spans="1:8" ht="12.75">
      <c r="A42" s="1270" t="s">
        <v>492</v>
      </c>
      <c r="B42" s="1270"/>
      <c r="C42" s="804">
        <f>C40-C41</f>
        <v>0</v>
      </c>
      <c r="D42" s="805">
        <f>D40-D41</f>
        <v>90158.37</v>
      </c>
      <c r="E42" s="805">
        <f>E40-E41</f>
        <v>28618</v>
      </c>
      <c r="F42" s="805">
        <f>F40-F41</f>
        <v>27316.800000000047</v>
      </c>
      <c r="G42" s="1230">
        <f>F42-E42</f>
        <v>-1301.1999999999534</v>
      </c>
      <c r="H42" s="806">
        <f>G42/E42*100</f>
        <v>-4.546788734362826</v>
      </c>
    </row>
  </sheetData>
  <sheetProtection/>
  <mergeCells count="22">
    <mergeCell ref="A21:B21"/>
    <mergeCell ref="C24:H24"/>
    <mergeCell ref="G25:H25"/>
    <mergeCell ref="A28:B28"/>
    <mergeCell ref="A1:H1"/>
    <mergeCell ref="A2:H2"/>
    <mergeCell ref="C5:H5"/>
    <mergeCell ref="G6:H6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37:B37"/>
    <mergeCell ref="A38:B38"/>
    <mergeCell ref="A39:B39"/>
    <mergeCell ref="A40:B40"/>
  </mergeCells>
  <printOptions/>
  <pageMargins left="0.5902777777777778" right="0.39375" top="0.7875" bottom="0.787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0.00390625" style="0" customWidth="1"/>
    <col min="6" max="8" width="9.140625" style="309" customWidth="1"/>
    <col min="9" max="9" width="12.140625" style="0" customWidth="1"/>
  </cols>
  <sheetData>
    <row r="2" spans="1:9" ht="12.75">
      <c r="A2" s="1282" t="s">
        <v>507</v>
      </c>
      <c r="B2" s="1282"/>
      <c r="C2" s="1282"/>
      <c r="D2" s="1282"/>
      <c r="E2" s="1282"/>
      <c r="F2" s="1282"/>
      <c r="G2" s="1282"/>
      <c r="H2" s="1282"/>
      <c r="I2" s="1282"/>
    </row>
    <row r="3" spans="1:9" ht="12.75">
      <c r="A3" s="807"/>
      <c r="B3" s="807"/>
      <c r="C3" s="807"/>
      <c r="D3" s="807"/>
      <c r="E3" s="807"/>
      <c r="F3" s="808"/>
      <c r="G3" s="808"/>
      <c r="H3" s="808"/>
      <c r="I3" s="807"/>
    </row>
    <row r="4" spans="1:9" ht="12.75">
      <c r="A4" s="807"/>
      <c r="B4" s="807"/>
      <c r="C4" s="807"/>
      <c r="D4" s="807"/>
      <c r="E4" s="807"/>
      <c r="F4" s="808"/>
      <c r="G4" s="808"/>
      <c r="H4" s="808"/>
      <c r="I4" s="807"/>
    </row>
    <row r="5" spans="6:9" ht="12.75">
      <c r="F5" s="1283">
        <v>2013</v>
      </c>
      <c r="G5" s="1283">
        <v>2014</v>
      </c>
      <c r="H5" s="1284" t="s">
        <v>492</v>
      </c>
      <c r="I5" s="1284"/>
    </row>
    <row r="6" spans="6:9" ht="12.75">
      <c r="F6" s="1283"/>
      <c r="G6" s="1283"/>
      <c r="H6" s="810" t="s">
        <v>508</v>
      </c>
      <c r="I6" s="809" t="s">
        <v>509</v>
      </c>
    </row>
    <row r="7" spans="1:9" s="584" customFormat="1" ht="12.75">
      <c r="A7" s="1280" t="s">
        <v>510</v>
      </c>
      <c r="B7" s="811" t="s">
        <v>511</v>
      </c>
      <c r="C7" s="811"/>
      <c r="D7" s="811"/>
      <c r="E7" s="812"/>
      <c r="F7" s="813">
        <f>SUM(F8,F9,F10)</f>
        <v>311216</v>
      </c>
      <c r="G7" s="813">
        <f>SUM(G8,G9,G10)</f>
        <v>256589</v>
      </c>
      <c r="H7" s="813">
        <f>SUM(G7)-F7</f>
        <v>-54627</v>
      </c>
      <c r="I7" s="814">
        <f>H7/F7*100</f>
        <v>-17.552760783507274</v>
      </c>
    </row>
    <row r="8" spans="1:9" ht="12.75">
      <c r="A8" s="1280"/>
      <c r="B8" s="815" t="s">
        <v>512</v>
      </c>
      <c r="C8" s="816"/>
      <c r="D8" s="816"/>
      <c r="E8" s="817"/>
      <c r="F8" s="795">
        <v>186654</v>
      </c>
      <c r="G8" s="795">
        <v>196389</v>
      </c>
      <c r="H8" s="795">
        <f aca="true" t="shared" si="0" ref="H8:H50">G8-F8</f>
        <v>9735</v>
      </c>
      <c r="I8" s="818">
        <f>H8/F8*100</f>
        <v>5.215532482561317</v>
      </c>
    </row>
    <row r="9" spans="1:9" ht="12.75">
      <c r="A9" s="1280"/>
      <c r="B9" s="819" t="s">
        <v>513</v>
      </c>
      <c r="C9" s="820"/>
      <c r="D9" s="821"/>
      <c r="E9" s="822"/>
      <c r="F9" s="799">
        <v>0</v>
      </c>
      <c r="G9" s="799">
        <v>200</v>
      </c>
      <c r="H9" s="799">
        <f t="shared" si="0"/>
        <v>200</v>
      </c>
      <c r="I9" s="823"/>
    </row>
    <row r="10" spans="1:9" ht="12.75">
      <c r="A10" s="1280"/>
      <c r="B10" s="824" t="s">
        <v>514</v>
      </c>
      <c r="C10" s="825"/>
      <c r="D10" s="825"/>
      <c r="E10" s="826"/>
      <c r="F10" s="827">
        <v>124562</v>
      </c>
      <c r="G10" s="827">
        <v>60000</v>
      </c>
      <c r="H10" s="827">
        <f t="shared" si="0"/>
        <v>-64562</v>
      </c>
      <c r="I10" s="828">
        <f>H10/F10*100</f>
        <v>-51.83121658290651</v>
      </c>
    </row>
    <row r="11" spans="1:9" s="584" customFormat="1" ht="12.75">
      <c r="A11" s="1280" t="s">
        <v>515</v>
      </c>
      <c r="B11" s="811" t="s">
        <v>516</v>
      </c>
      <c r="C11" s="811"/>
      <c r="D11" s="811"/>
      <c r="E11" s="812"/>
      <c r="F11" s="813">
        <v>1000</v>
      </c>
      <c r="G11" s="813">
        <f>SUM(G12,G13,G14)</f>
        <v>1042</v>
      </c>
      <c r="H11" s="813">
        <f t="shared" si="0"/>
        <v>42</v>
      </c>
      <c r="I11" s="814">
        <f>H11/F11*100</f>
        <v>4.2</v>
      </c>
    </row>
    <row r="12" spans="1:9" ht="12.75">
      <c r="A12" s="1280"/>
      <c r="B12" s="815" t="s">
        <v>512</v>
      </c>
      <c r="C12" s="816"/>
      <c r="D12" s="816"/>
      <c r="E12" s="817"/>
      <c r="F12" s="795">
        <v>1000</v>
      </c>
      <c r="G12" s="795">
        <v>1042</v>
      </c>
      <c r="H12" s="795">
        <f t="shared" si="0"/>
        <v>42</v>
      </c>
      <c r="I12" s="818">
        <f>H12/F12*100</f>
        <v>4.2</v>
      </c>
    </row>
    <row r="13" spans="1:9" ht="12.75">
      <c r="A13" s="1280"/>
      <c r="B13" s="819" t="s">
        <v>513</v>
      </c>
      <c r="C13" s="820"/>
      <c r="D13" s="821"/>
      <c r="E13" s="822"/>
      <c r="F13" s="799">
        <v>0</v>
      </c>
      <c r="G13" s="799">
        <v>0</v>
      </c>
      <c r="H13" s="799">
        <f t="shared" si="0"/>
        <v>0</v>
      </c>
      <c r="I13" s="823">
        <v>0</v>
      </c>
    </row>
    <row r="14" spans="1:9" ht="12.75">
      <c r="A14" s="1280"/>
      <c r="B14" s="824" t="s">
        <v>514</v>
      </c>
      <c r="C14" s="825"/>
      <c r="D14" s="825"/>
      <c r="E14" s="826"/>
      <c r="F14" s="827">
        <v>0</v>
      </c>
      <c r="G14" s="827">
        <v>0</v>
      </c>
      <c r="H14" s="827">
        <f t="shared" si="0"/>
        <v>0</v>
      </c>
      <c r="I14" s="828">
        <v>0</v>
      </c>
    </row>
    <row r="15" spans="1:9" s="584" customFormat="1" ht="12.75">
      <c r="A15" s="1280" t="s">
        <v>517</v>
      </c>
      <c r="B15" s="811" t="s">
        <v>518</v>
      </c>
      <c r="C15" s="811"/>
      <c r="D15" s="811"/>
      <c r="E15" s="812"/>
      <c r="F15" s="813">
        <v>63728</v>
      </c>
      <c r="G15" s="813">
        <f>SUM(G16,G17,G18)</f>
        <v>81051</v>
      </c>
      <c r="H15" s="813">
        <f t="shared" si="0"/>
        <v>17323</v>
      </c>
      <c r="I15" s="814">
        <f>H15/F15*100</f>
        <v>27.182714034647248</v>
      </c>
    </row>
    <row r="16" spans="1:9" ht="12.75">
      <c r="A16" s="1280"/>
      <c r="B16" s="815" t="s">
        <v>512</v>
      </c>
      <c r="C16" s="816"/>
      <c r="D16" s="816"/>
      <c r="E16" s="817"/>
      <c r="F16" s="795">
        <v>57728</v>
      </c>
      <c r="G16" s="795">
        <v>77551</v>
      </c>
      <c r="H16" s="795">
        <f t="shared" si="0"/>
        <v>19823</v>
      </c>
      <c r="I16" s="818">
        <f>H16/F16*100</f>
        <v>34.338622505543235</v>
      </c>
    </row>
    <row r="17" spans="1:9" ht="12.75">
      <c r="A17" s="1280"/>
      <c r="B17" s="819" t="s">
        <v>513</v>
      </c>
      <c r="C17" s="820"/>
      <c r="D17" s="821"/>
      <c r="E17" s="822"/>
      <c r="F17" s="799">
        <v>6000</v>
      </c>
      <c r="G17" s="799">
        <v>3500</v>
      </c>
      <c r="H17" s="799">
        <f t="shared" si="0"/>
        <v>-2500</v>
      </c>
      <c r="I17" s="823">
        <f>H17/F17*100</f>
        <v>-41.66666666666667</v>
      </c>
    </row>
    <row r="18" spans="1:9" ht="12.75">
      <c r="A18" s="1280"/>
      <c r="B18" s="824" t="s">
        <v>514</v>
      </c>
      <c r="C18" s="825"/>
      <c r="D18" s="825"/>
      <c r="E18" s="826"/>
      <c r="F18" s="827">
        <v>0</v>
      </c>
      <c r="G18" s="827">
        <v>0</v>
      </c>
      <c r="H18" s="827">
        <f t="shared" si="0"/>
        <v>0</v>
      </c>
      <c r="I18" s="828">
        <v>0</v>
      </c>
    </row>
    <row r="19" spans="1:9" s="584" customFormat="1" ht="12.75">
      <c r="A19" s="1280" t="s">
        <v>519</v>
      </c>
      <c r="B19" s="811" t="s">
        <v>520</v>
      </c>
      <c r="C19" s="811"/>
      <c r="D19" s="811"/>
      <c r="E19" s="812"/>
      <c r="F19" s="813">
        <v>123120</v>
      </c>
      <c r="G19" s="813">
        <f>SUM(G20,G21,G22)</f>
        <v>129120</v>
      </c>
      <c r="H19" s="813">
        <f t="shared" si="0"/>
        <v>6000</v>
      </c>
      <c r="I19" s="814">
        <f>H19/F19*100</f>
        <v>4.8732943469785575</v>
      </c>
    </row>
    <row r="20" spans="1:9" ht="12.75">
      <c r="A20" s="1280"/>
      <c r="B20" s="815" t="s">
        <v>512</v>
      </c>
      <c r="C20" s="816"/>
      <c r="D20" s="816"/>
      <c r="E20" s="817"/>
      <c r="F20" s="795">
        <v>123120</v>
      </c>
      <c r="G20" s="795">
        <v>129120</v>
      </c>
      <c r="H20" s="795">
        <f t="shared" si="0"/>
        <v>6000</v>
      </c>
      <c r="I20" s="818">
        <f>H20/F20*100</f>
        <v>4.8732943469785575</v>
      </c>
    </row>
    <row r="21" spans="1:9" ht="12.75">
      <c r="A21" s="1280"/>
      <c r="B21" s="819" t="s">
        <v>513</v>
      </c>
      <c r="C21" s="820"/>
      <c r="D21" s="821"/>
      <c r="E21" s="822"/>
      <c r="F21" s="799">
        <v>0</v>
      </c>
      <c r="G21" s="799">
        <v>0</v>
      </c>
      <c r="H21" s="799">
        <f t="shared" si="0"/>
        <v>0</v>
      </c>
      <c r="I21" s="823">
        <v>0</v>
      </c>
    </row>
    <row r="22" spans="1:9" ht="12.75">
      <c r="A22" s="1280"/>
      <c r="B22" s="824" t="s">
        <v>514</v>
      </c>
      <c r="C22" s="825"/>
      <c r="D22" s="825"/>
      <c r="E22" s="826"/>
      <c r="F22" s="827">
        <v>0</v>
      </c>
      <c r="G22" s="827">
        <v>0</v>
      </c>
      <c r="H22" s="827">
        <f t="shared" si="0"/>
        <v>0</v>
      </c>
      <c r="I22" s="828">
        <v>0</v>
      </c>
    </row>
    <row r="23" spans="1:9" s="584" customFormat="1" ht="12.75">
      <c r="A23" s="1280" t="s">
        <v>521</v>
      </c>
      <c r="B23" s="811" t="s">
        <v>522</v>
      </c>
      <c r="C23" s="811"/>
      <c r="D23" s="811"/>
      <c r="E23" s="812"/>
      <c r="F23" s="813">
        <v>102238</v>
      </c>
      <c r="G23" s="813">
        <f>SUM(G24,G25)</f>
        <v>360435</v>
      </c>
      <c r="H23" s="813">
        <f t="shared" si="0"/>
        <v>258197</v>
      </c>
      <c r="I23" s="814">
        <f>H23/F23*100</f>
        <v>252.54504196091472</v>
      </c>
    </row>
    <row r="24" spans="1:9" ht="12.75">
      <c r="A24" s="1280"/>
      <c r="B24" s="815" t="s">
        <v>512</v>
      </c>
      <c r="C24" s="816"/>
      <c r="D24" s="816"/>
      <c r="E24" s="817"/>
      <c r="F24" s="795">
        <v>84398</v>
      </c>
      <c r="G24" s="795">
        <v>90435</v>
      </c>
      <c r="H24" s="795">
        <f t="shared" si="0"/>
        <v>6037</v>
      </c>
      <c r="I24" s="818">
        <f>H24/F24*100</f>
        <v>7.153013104575938</v>
      </c>
    </row>
    <row r="25" spans="1:9" ht="12.75">
      <c r="A25" s="1280"/>
      <c r="B25" s="819" t="s">
        <v>513</v>
      </c>
      <c r="C25" s="820"/>
      <c r="D25" s="821"/>
      <c r="E25" s="822"/>
      <c r="F25" s="799">
        <v>17300</v>
      </c>
      <c r="G25" s="799">
        <v>270000</v>
      </c>
      <c r="H25" s="799">
        <f t="shared" si="0"/>
        <v>252700</v>
      </c>
      <c r="I25" s="823">
        <v>0</v>
      </c>
    </row>
    <row r="26" spans="1:9" ht="12.75">
      <c r="A26" s="1280"/>
      <c r="B26" s="824" t="s">
        <v>514</v>
      </c>
      <c r="C26" s="825"/>
      <c r="D26" s="825"/>
      <c r="E26" s="826"/>
      <c r="F26" s="827">
        <v>0</v>
      </c>
      <c r="G26" s="827">
        <v>0</v>
      </c>
      <c r="H26" s="827">
        <f t="shared" si="0"/>
        <v>0</v>
      </c>
      <c r="I26" s="828">
        <v>0</v>
      </c>
    </row>
    <row r="27" spans="1:9" s="584" customFormat="1" ht="12.75">
      <c r="A27" s="1280" t="s">
        <v>523</v>
      </c>
      <c r="B27" s="811" t="s">
        <v>524</v>
      </c>
      <c r="C27" s="811"/>
      <c r="D27" s="811"/>
      <c r="E27" s="812"/>
      <c r="F27" s="813">
        <v>57800</v>
      </c>
      <c r="G27" s="813">
        <f>SUM(G28,G29)</f>
        <v>19204</v>
      </c>
      <c r="H27" s="813">
        <f t="shared" si="0"/>
        <v>-38596</v>
      </c>
      <c r="I27" s="814">
        <f>H27/F27*100</f>
        <v>-66.7750865051903</v>
      </c>
    </row>
    <row r="28" spans="1:9" ht="12.75">
      <c r="A28" s="1280"/>
      <c r="B28" s="815" t="s">
        <v>512</v>
      </c>
      <c r="C28" s="816"/>
      <c r="D28" s="816"/>
      <c r="E28" s="817"/>
      <c r="F28" s="795">
        <v>19844</v>
      </c>
      <c r="G28" s="795">
        <v>15000</v>
      </c>
      <c r="H28" s="795">
        <f t="shared" si="0"/>
        <v>-4844</v>
      </c>
      <c r="I28" s="818">
        <f>H28/F28*100</f>
        <v>-24.410401128804676</v>
      </c>
    </row>
    <row r="29" spans="1:9" ht="12.75">
      <c r="A29" s="1280"/>
      <c r="B29" s="819" t="s">
        <v>513</v>
      </c>
      <c r="C29" s="820"/>
      <c r="D29" s="821"/>
      <c r="E29" s="822"/>
      <c r="F29" s="799">
        <v>37956</v>
      </c>
      <c r="G29" s="799">
        <v>4204</v>
      </c>
      <c r="H29" s="799">
        <f t="shared" si="0"/>
        <v>-33752</v>
      </c>
      <c r="I29" s="823">
        <f>H29/F29*100</f>
        <v>-88.92401728316999</v>
      </c>
    </row>
    <row r="30" spans="1:9" ht="12.75">
      <c r="A30" s="1280"/>
      <c r="B30" s="824" t="s">
        <v>514</v>
      </c>
      <c r="C30" s="825"/>
      <c r="D30" s="825"/>
      <c r="E30" s="826"/>
      <c r="F30" s="827">
        <v>0</v>
      </c>
      <c r="G30" s="827">
        <v>0</v>
      </c>
      <c r="H30" s="827">
        <f t="shared" si="0"/>
        <v>0</v>
      </c>
      <c r="I30" s="828">
        <v>0</v>
      </c>
    </row>
    <row r="31" spans="1:9" s="584" customFormat="1" ht="12.75">
      <c r="A31" s="1280" t="s">
        <v>525</v>
      </c>
      <c r="B31" s="811" t="s">
        <v>526</v>
      </c>
      <c r="C31" s="811"/>
      <c r="D31" s="811"/>
      <c r="E31" s="812"/>
      <c r="F31" s="813">
        <v>28250</v>
      </c>
      <c r="G31" s="813">
        <f>SUM(G32,G33)</f>
        <v>30980</v>
      </c>
      <c r="H31" s="813">
        <f t="shared" si="0"/>
        <v>2730</v>
      </c>
      <c r="I31" s="814">
        <f>H31/F31*100</f>
        <v>9.663716814159292</v>
      </c>
    </row>
    <row r="32" spans="1:9" ht="12.75">
      <c r="A32" s="1280"/>
      <c r="B32" s="815" t="s">
        <v>512</v>
      </c>
      <c r="C32" s="816"/>
      <c r="D32" s="816"/>
      <c r="E32" s="817"/>
      <c r="F32" s="795">
        <v>28250</v>
      </c>
      <c r="G32" s="795">
        <v>30980</v>
      </c>
      <c r="H32" s="795">
        <f t="shared" si="0"/>
        <v>2730</v>
      </c>
      <c r="I32" s="818">
        <f>H32/F32*100</f>
        <v>9.663716814159292</v>
      </c>
    </row>
    <row r="33" spans="1:9" ht="12.75">
      <c r="A33" s="1280"/>
      <c r="B33" s="819" t="s">
        <v>513</v>
      </c>
      <c r="C33" s="820"/>
      <c r="D33" s="821"/>
      <c r="E33" s="822"/>
      <c r="F33" s="799">
        <v>0</v>
      </c>
      <c r="G33" s="799">
        <v>0</v>
      </c>
      <c r="H33" s="799">
        <f t="shared" si="0"/>
        <v>0</v>
      </c>
      <c r="I33" s="823">
        <v>0</v>
      </c>
    </row>
    <row r="34" spans="1:9" ht="12.75">
      <c r="A34" s="1280"/>
      <c r="B34" s="824" t="s">
        <v>514</v>
      </c>
      <c r="C34" s="825"/>
      <c r="D34" s="825"/>
      <c r="E34" s="826"/>
      <c r="F34" s="827">
        <v>0</v>
      </c>
      <c r="G34" s="827">
        <v>0</v>
      </c>
      <c r="H34" s="827">
        <f t="shared" si="0"/>
        <v>0</v>
      </c>
      <c r="I34" s="828">
        <v>0</v>
      </c>
    </row>
    <row r="35" spans="1:9" s="584" customFormat="1" ht="12.75">
      <c r="A35" s="1280" t="s">
        <v>527</v>
      </c>
      <c r="B35" s="811" t="s">
        <v>528</v>
      </c>
      <c r="C35" s="811"/>
      <c r="D35" s="811"/>
      <c r="E35" s="812"/>
      <c r="F35" s="813">
        <v>68270</v>
      </c>
      <c r="G35" s="813">
        <f>SUM(G36,G37)</f>
        <v>101360</v>
      </c>
      <c r="H35" s="813">
        <f t="shared" si="0"/>
        <v>33090</v>
      </c>
      <c r="I35" s="814">
        <f>H35/F35*100</f>
        <v>48.46931302182511</v>
      </c>
    </row>
    <row r="36" spans="1:9" ht="12.75">
      <c r="A36" s="1280"/>
      <c r="B36" s="815" t="s">
        <v>512</v>
      </c>
      <c r="C36" s="816"/>
      <c r="D36" s="816"/>
      <c r="E36" s="817"/>
      <c r="F36" s="795">
        <v>68270</v>
      </c>
      <c r="G36" s="795">
        <v>71360</v>
      </c>
      <c r="H36" s="795">
        <f t="shared" si="0"/>
        <v>3090</v>
      </c>
      <c r="I36" s="818">
        <f>H36/F36*100</f>
        <v>4.526146184268346</v>
      </c>
    </row>
    <row r="37" spans="1:9" ht="12.75">
      <c r="A37" s="1280"/>
      <c r="B37" s="819" t="s">
        <v>513</v>
      </c>
      <c r="C37" s="820"/>
      <c r="D37" s="821"/>
      <c r="E37" s="822"/>
      <c r="F37" s="799">
        <v>0</v>
      </c>
      <c r="G37" s="799">
        <v>30000</v>
      </c>
      <c r="H37" s="799">
        <f t="shared" si="0"/>
        <v>30000</v>
      </c>
      <c r="I37" s="823">
        <v>0</v>
      </c>
    </row>
    <row r="38" spans="1:9" ht="12.75">
      <c r="A38" s="1280"/>
      <c r="B38" s="824" t="s">
        <v>514</v>
      </c>
      <c r="C38" s="825"/>
      <c r="D38" s="825"/>
      <c r="E38" s="826"/>
      <c r="F38" s="827">
        <v>0</v>
      </c>
      <c r="G38" s="827">
        <v>0</v>
      </c>
      <c r="H38" s="827">
        <f t="shared" si="0"/>
        <v>0</v>
      </c>
      <c r="I38" s="828">
        <v>0</v>
      </c>
    </row>
    <row r="39" spans="1:9" s="584" customFormat="1" ht="12.75">
      <c r="A39" s="1280" t="s">
        <v>529</v>
      </c>
      <c r="B39" s="811" t="s">
        <v>530</v>
      </c>
      <c r="C39" s="811"/>
      <c r="D39" s="811"/>
      <c r="E39" s="812"/>
      <c r="F39" s="813">
        <v>760721</v>
      </c>
      <c r="G39" s="813">
        <f>SUM(G40,G41)</f>
        <v>828661</v>
      </c>
      <c r="H39" s="813">
        <f t="shared" si="0"/>
        <v>67940</v>
      </c>
      <c r="I39" s="814">
        <f>H39/F39*100</f>
        <v>8.931000984592249</v>
      </c>
    </row>
    <row r="40" spans="1:9" ht="12.75">
      <c r="A40" s="1280"/>
      <c r="B40" s="815" t="s">
        <v>512</v>
      </c>
      <c r="C40" s="816"/>
      <c r="D40" s="816"/>
      <c r="E40" s="817"/>
      <c r="F40" s="795">
        <v>760721</v>
      </c>
      <c r="G40" s="795">
        <v>824861</v>
      </c>
      <c r="H40" s="795">
        <f t="shared" si="0"/>
        <v>64140</v>
      </c>
      <c r="I40" s="818">
        <f>H40/F40*100</f>
        <v>8.43147487712315</v>
      </c>
    </row>
    <row r="41" spans="1:9" ht="12.75">
      <c r="A41" s="1280"/>
      <c r="B41" s="819" t="s">
        <v>513</v>
      </c>
      <c r="C41" s="820"/>
      <c r="D41" s="821"/>
      <c r="E41" s="822"/>
      <c r="F41" s="799">
        <v>0</v>
      </c>
      <c r="G41" s="799">
        <v>3800</v>
      </c>
      <c r="H41" s="799">
        <f t="shared" si="0"/>
        <v>3800</v>
      </c>
      <c r="I41" s="823"/>
    </row>
    <row r="42" spans="1:9" ht="12.75">
      <c r="A42" s="1280"/>
      <c r="B42" s="824" t="s">
        <v>514</v>
      </c>
      <c r="C42" s="825"/>
      <c r="D42" s="825"/>
      <c r="E42" s="826"/>
      <c r="F42" s="827">
        <v>0</v>
      </c>
      <c r="G42" s="827">
        <v>0</v>
      </c>
      <c r="H42" s="827">
        <f t="shared" si="0"/>
        <v>0</v>
      </c>
      <c r="I42" s="828">
        <v>0</v>
      </c>
    </row>
    <row r="43" spans="1:9" s="584" customFormat="1" ht="12.75">
      <c r="A43" s="1280" t="s">
        <v>531</v>
      </c>
      <c r="B43" s="811" t="s">
        <v>532</v>
      </c>
      <c r="C43" s="811"/>
      <c r="D43" s="811"/>
      <c r="E43" s="812"/>
      <c r="F43" s="813">
        <v>46585</v>
      </c>
      <c r="G43" s="813">
        <f>SUM(G44,G45)</f>
        <v>60320</v>
      </c>
      <c r="H43" s="813">
        <f t="shared" si="0"/>
        <v>13735</v>
      </c>
      <c r="I43" s="814">
        <f>H43/F43*100</f>
        <v>29.483739401094773</v>
      </c>
    </row>
    <row r="44" spans="1:9" ht="12.75">
      <c r="A44" s="1280"/>
      <c r="B44" s="815" t="s">
        <v>512</v>
      </c>
      <c r="C44" s="816"/>
      <c r="D44" s="816"/>
      <c r="E44" s="817"/>
      <c r="F44" s="795">
        <v>46585</v>
      </c>
      <c r="G44" s="795">
        <v>60320</v>
      </c>
      <c r="H44" s="795">
        <f t="shared" si="0"/>
        <v>13735</v>
      </c>
      <c r="I44" s="818">
        <f>H44/F44*100</f>
        <v>29.483739401094773</v>
      </c>
    </row>
    <row r="45" spans="1:9" ht="12.75">
      <c r="A45" s="1280"/>
      <c r="B45" s="819" t="s">
        <v>513</v>
      </c>
      <c r="C45" s="820"/>
      <c r="D45" s="821"/>
      <c r="E45" s="822"/>
      <c r="F45" s="799">
        <v>0</v>
      </c>
      <c r="G45" s="799">
        <v>0</v>
      </c>
      <c r="H45" s="799">
        <f t="shared" si="0"/>
        <v>0</v>
      </c>
      <c r="I45" s="823">
        <v>0</v>
      </c>
    </row>
    <row r="46" spans="1:9" ht="12.75">
      <c r="A46" s="1280"/>
      <c r="B46" s="824" t="s">
        <v>514</v>
      </c>
      <c r="C46" s="825"/>
      <c r="D46" s="825"/>
      <c r="E46" s="826"/>
      <c r="F46" s="827">
        <v>0</v>
      </c>
      <c r="G46" s="827">
        <v>0</v>
      </c>
      <c r="H46" s="827">
        <f t="shared" si="0"/>
        <v>0</v>
      </c>
      <c r="I46" s="828">
        <v>0</v>
      </c>
    </row>
    <row r="47" spans="1:9" ht="12.75">
      <c r="A47" s="1281" t="s">
        <v>533</v>
      </c>
      <c r="B47" s="829" t="s">
        <v>512</v>
      </c>
      <c r="C47" s="830"/>
      <c r="D47" s="830"/>
      <c r="E47" s="831"/>
      <c r="F47" s="832">
        <v>1369188</v>
      </c>
      <c r="G47" s="833">
        <f>SUM(G8,G12,G16,G20,G24,G28,G32,G36,G40,G44)</f>
        <v>1497058</v>
      </c>
      <c r="H47" s="832">
        <f t="shared" si="0"/>
        <v>127870</v>
      </c>
      <c r="I47" s="834">
        <f>H47/F47*100</f>
        <v>9.339111940799949</v>
      </c>
    </row>
    <row r="48" spans="1:9" ht="12.75">
      <c r="A48" s="1281"/>
      <c r="B48" s="835" t="s">
        <v>513</v>
      </c>
      <c r="C48" s="836"/>
      <c r="D48" s="836"/>
      <c r="E48" s="837"/>
      <c r="F48" s="838">
        <v>55506</v>
      </c>
      <c r="G48" s="839">
        <f>SUM(G9,G13,G17,G21,G25,G29,G33,G37,G41,G45)</f>
        <v>311704</v>
      </c>
      <c r="H48" s="838">
        <f t="shared" si="0"/>
        <v>256198</v>
      </c>
      <c r="I48" s="840">
        <f>H48/F48*100</f>
        <v>461.5681187619357</v>
      </c>
    </row>
    <row r="49" spans="1:9" ht="12.75">
      <c r="A49" s="1281"/>
      <c r="B49" s="841" t="s">
        <v>514</v>
      </c>
      <c r="C49" s="842"/>
      <c r="D49" s="842"/>
      <c r="E49" s="843"/>
      <c r="F49" s="844">
        <v>179737</v>
      </c>
      <c r="G49" s="845">
        <f>SUM(G10,G14,G18,G22,G26,G30,G34,G38,G42,G46)</f>
        <v>60000</v>
      </c>
      <c r="H49" s="844">
        <f t="shared" si="0"/>
        <v>-119737</v>
      </c>
      <c r="I49" s="846">
        <f>H49/F49*100</f>
        <v>-66.6178916973133</v>
      </c>
    </row>
    <row r="50" spans="1:9" ht="12.75">
      <c r="A50" s="1281"/>
      <c r="B50" s="847" t="s">
        <v>534</v>
      </c>
      <c r="C50" s="848"/>
      <c r="D50" s="848"/>
      <c r="E50" s="849"/>
      <c r="F50" s="850">
        <f>SUM(F47,F48,F49)</f>
        <v>1604431</v>
      </c>
      <c r="G50" s="851">
        <f>SUM(G47,G48,G49)</f>
        <v>1868762</v>
      </c>
      <c r="H50" s="850">
        <f t="shared" si="0"/>
        <v>264331</v>
      </c>
      <c r="I50" s="852">
        <f>H50/F50*100</f>
        <v>16.475061875518485</v>
      </c>
    </row>
  </sheetData>
  <sheetProtection/>
  <mergeCells count="15">
    <mergeCell ref="A7:A10"/>
    <mergeCell ref="A11:A14"/>
    <mergeCell ref="A15:A18"/>
    <mergeCell ref="A19:A22"/>
    <mergeCell ref="A2:I2"/>
    <mergeCell ref="F5:F6"/>
    <mergeCell ref="G5:G6"/>
    <mergeCell ref="H5:I5"/>
    <mergeCell ref="A39:A42"/>
    <mergeCell ref="A43:A46"/>
    <mergeCell ref="A47:A50"/>
    <mergeCell ref="A23:A26"/>
    <mergeCell ref="A27:A30"/>
    <mergeCell ref="A31:A34"/>
    <mergeCell ref="A35:A3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91"/>
  <sheetViews>
    <sheetView tabSelected="1" zoomScale="150" zoomScaleNormal="150" zoomScalePageLayoutView="0" workbookViewId="0" topLeftCell="A476">
      <selection activeCell="H478" sqref="H478"/>
    </sheetView>
  </sheetViews>
  <sheetFormatPr defaultColWidth="9.00390625" defaultRowHeight="12.75"/>
  <cols>
    <col min="1" max="1" width="5.28125" style="54" customWidth="1"/>
    <col min="2" max="2" width="4.57421875" style="54" customWidth="1"/>
    <col min="3" max="3" width="39.57421875" style="54" customWidth="1"/>
    <col min="4" max="4" width="10.7109375" style="54" customWidth="1"/>
    <col min="5" max="7" width="10.7109375" style="853" customWidth="1"/>
    <col min="8" max="8" width="10.7109375" style="854" customWidth="1"/>
    <col min="9" max="13" width="10.7109375" style="58" customWidth="1"/>
    <col min="14" max="14" width="19.8515625" style="54" customWidth="1"/>
    <col min="15" max="15" width="9.140625" style="54" customWidth="1"/>
    <col min="16" max="16384" width="9.00390625" style="54" customWidth="1"/>
  </cols>
  <sheetData>
    <row r="1" spans="1:13" ht="15.75">
      <c r="A1" s="1286" t="s">
        <v>535</v>
      </c>
      <c r="B1" s="1286"/>
      <c r="C1" s="1286"/>
      <c r="D1" s="1286"/>
      <c r="E1" s="1286"/>
      <c r="F1" s="1286"/>
      <c r="G1" s="1286"/>
      <c r="H1" s="1286"/>
      <c r="I1" s="855"/>
      <c r="J1" s="855"/>
      <c r="K1" s="855"/>
      <c r="L1" s="855"/>
      <c r="M1" s="855"/>
    </row>
    <row r="2" ht="12.75" hidden="1"/>
    <row r="3" spans="3:4" ht="12.75">
      <c r="C3" s="856" t="s">
        <v>498</v>
      </c>
      <c r="D3" s="856"/>
    </row>
    <row r="4" spans="6:13" ht="12.75">
      <c r="F4" s="1249" t="s">
        <v>536</v>
      </c>
      <c r="G4" s="1249"/>
      <c r="H4" s="1249"/>
      <c r="I4" s="272"/>
      <c r="J4" s="272"/>
      <c r="K4" s="272"/>
      <c r="L4" s="272"/>
      <c r="M4" s="272"/>
    </row>
    <row r="5" spans="1:7" ht="15.75" hidden="1">
      <c r="A5" s="1257"/>
      <c r="B5" s="1257"/>
      <c r="C5" s="1257"/>
      <c r="D5" s="1257"/>
      <c r="E5" s="1257"/>
      <c r="F5" s="857"/>
      <c r="G5" s="857" t="s">
        <v>508</v>
      </c>
    </row>
    <row r="6" spans="1:14" s="868" customFormat="1" ht="12.75">
      <c r="A6" s="858" t="s">
        <v>498</v>
      </c>
      <c r="B6" s="859"/>
      <c r="C6" s="860"/>
      <c r="D6" s="246">
        <v>2014</v>
      </c>
      <c r="E6" s="861" t="s">
        <v>108</v>
      </c>
      <c r="F6" s="862" t="s">
        <v>109</v>
      </c>
      <c r="G6" s="863" t="s">
        <v>110</v>
      </c>
      <c r="H6" s="862"/>
      <c r="I6" s="864"/>
      <c r="J6" s="76"/>
      <c r="K6" s="864"/>
      <c r="L6" s="865"/>
      <c r="M6" s="866"/>
      <c r="N6" s="867"/>
    </row>
    <row r="7" spans="1:14" s="55" customFormat="1" ht="12.75">
      <c r="A7" s="869" t="s">
        <v>537</v>
      </c>
      <c r="B7" s="870"/>
      <c r="C7" s="871"/>
      <c r="D7" s="872">
        <f>SUM(D8,D9,D10,D11,D12)</f>
        <v>165350</v>
      </c>
      <c r="E7" s="873">
        <f>SUM(E8,E9,E10,E11,E12)</f>
        <v>85598.45999999999</v>
      </c>
      <c r="F7" s="874">
        <f>F8+F11+F12+F9+F10</f>
        <v>162750</v>
      </c>
      <c r="G7" s="875">
        <f>G8+G11+G12+G9+G10</f>
        <v>169778</v>
      </c>
      <c r="H7" s="874">
        <f>H8+H11+H12</f>
        <v>0</v>
      </c>
      <c r="I7" s="255"/>
      <c r="J7" s="255"/>
      <c r="K7" s="255"/>
      <c r="L7" s="876"/>
      <c r="M7" s="876"/>
      <c r="N7" s="877"/>
    </row>
    <row r="8" spans="1:13" s="152" customFormat="1" ht="11.25">
      <c r="A8" s="100">
        <v>610</v>
      </c>
      <c r="B8" s="878"/>
      <c r="C8" s="879" t="s">
        <v>538</v>
      </c>
      <c r="D8" s="880">
        <v>55000</v>
      </c>
      <c r="E8" s="881">
        <v>25425.39</v>
      </c>
      <c r="F8" s="880">
        <v>55000</v>
      </c>
      <c r="G8" s="882">
        <v>55000</v>
      </c>
      <c r="H8" s="880">
        <v>0</v>
      </c>
      <c r="I8" s="230"/>
      <c r="J8" s="230"/>
      <c r="K8" s="230"/>
      <c r="M8" s="160"/>
    </row>
    <row r="9" spans="1:13" s="152" customFormat="1" ht="11.25">
      <c r="A9" s="883">
        <v>610</v>
      </c>
      <c r="B9" s="878"/>
      <c r="C9" s="884" t="s">
        <v>539</v>
      </c>
      <c r="D9" s="885">
        <v>10000</v>
      </c>
      <c r="E9" s="886">
        <v>1325.65</v>
      </c>
      <c r="F9" s="885">
        <v>1500</v>
      </c>
      <c r="G9" s="887">
        <v>1636</v>
      </c>
      <c r="H9" s="885">
        <v>0</v>
      </c>
      <c r="I9" s="230"/>
      <c r="J9" s="888"/>
      <c r="K9" s="230"/>
      <c r="L9" s="867"/>
      <c r="M9" s="160"/>
    </row>
    <row r="10" spans="1:13" s="152" customFormat="1" ht="11.25">
      <c r="A10" s="889">
        <v>625</v>
      </c>
      <c r="B10" s="890" t="s">
        <v>112</v>
      </c>
      <c r="C10" s="891" t="s">
        <v>540</v>
      </c>
      <c r="D10" s="892">
        <v>0</v>
      </c>
      <c r="E10" s="893">
        <v>818.23</v>
      </c>
      <c r="F10" s="892">
        <v>1000</v>
      </c>
      <c r="G10" s="894">
        <v>581</v>
      </c>
      <c r="H10" s="892">
        <v>0</v>
      </c>
      <c r="I10" s="230"/>
      <c r="J10" s="230"/>
      <c r="K10" s="230"/>
      <c r="L10" s="867"/>
      <c r="M10" s="160"/>
    </row>
    <row r="11" spans="1:13" ht="12.75">
      <c r="A11" s="100">
        <v>620</v>
      </c>
      <c r="B11" s="101"/>
      <c r="C11" s="101" t="s">
        <v>242</v>
      </c>
      <c r="D11" s="284">
        <v>20000</v>
      </c>
      <c r="E11" s="895">
        <v>9507.37</v>
      </c>
      <c r="F11" s="284">
        <v>20000</v>
      </c>
      <c r="G11" s="896">
        <v>20150</v>
      </c>
      <c r="H11" s="284">
        <v>0</v>
      </c>
      <c r="I11" s="230"/>
      <c r="J11" s="230"/>
      <c r="K11" s="230"/>
      <c r="L11" s="152"/>
      <c r="M11" s="160"/>
    </row>
    <row r="12" spans="1:15" s="58" customFormat="1" ht="12.75">
      <c r="A12" s="897">
        <v>630</v>
      </c>
      <c r="B12" s="898"/>
      <c r="C12" s="898" t="s">
        <v>421</v>
      </c>
      <c r="D12" s="899">
        <f>D13+D14+D16+D29+D36+D40+D48+D65</f>
        <v>80350</v>
      </c>
      <c r="E12" s="900">
        <f>E13+E14+E16+E29+E36+E40+E48+E65</f>
        <v>48521.82</v>
      </c>
      <c r="F12" s="899">
        <f>F13+F14+F16+F29+F36+F40+F48+F65</f>
        <v>85250</v>
      </c>
      <c r="G12" s="901">
        <f>G13+G14+G16+G29+G36+G40+G48+G65+G15</f>
        <v>92411</v>
      </c>
      <c r="H12" s="899">
        <f>H13+H14+H16+H29+H36+H40+H48+H65</f>
        <v>0</v>
      </c>
      <c r="I12" s="269"/>
      <c r="J12" s="269"/>
      <c r="K12" s="269"/>
      <c r="L12" s="161"/>
      <c r="M12" s="161"/>
      <c r="O12" s="59"/>
    </row>
    <row r="13" spans="1:13" s="58" customFormat="1" ht="12.75">
      <c r="A13" s="902" t="s">
        <v>541</v>
      </c>
      <c r="B13" s="903"/>
      <c r="C13" s="903" t="s">
        <v>244</v>
      </c>
      <c r="D13" s="904">
        <v>200</v>
      </c>
      <c r="E13" s="905">
        <v>84.08</v>
      </c>
      <c r="F13" s="904">
        <v>150</v>
      </c>
      <c r="G13" s="906">
        <v>150</v>
      </c>
      <c r="H13" s="904">
        <v>0</v>
      </c>
      <c r="I13" s="230"/>
      <c r="J13" s="907"/>
      <c r="K13" s="230"/>
      <c r="L13" s="908"/>
      <c r="M13" s="909"/>
    </row>
    <row r="14" spans="1:13" s="58" customFormat="1" ht="12.75">
      <c r="A14" s="910">
        <v>632</v>
      </c>
      <c r="B14" s="911"/>
      <c r="C14" s="911" t="s">
        <v>542</v>
      </c>
      <c r="D14" s="904">
        <v>15000</v>
      </c>
      <c r="E14" s="905">
        <v>5871</v>
      </c>
      <c r="F14" s="904">
        <v>12000</v>
      </c>
      <c r="G14" s="906">
        <v>12845</v>
      </c>
      <c r="H14" s="904">
        <v>0</v>
      </c>
      <c r="I14" s="230"/>
      <c r="J14" s="907"/>
      <c r="K14" s="230"/>
      <c r="L14" s="908"/>
      <c r="M14" s="909"/>
    </row>
    <row r="15" spans="1:13" s="920" customFormat="1" ht="12.75">
      <c r="A15" s="912">
        <v>632</v>
      </c>
      <c r="B15" s="913" t="s">
        <v>543</v>
      </c>
      <c r="C15" s="914"/>
      <c r="D15" s="915">
        <v>0</v>
      </c>
      <c r="E15" s="916">
        <v>0</v>
      </c>
      <c r="F15" s="915">
        <v>0</v>
      </c>
      <c r="G15" s="917">
        <v>291</v>
      </c>
      <c r="H15" s="915">
        <v>0</v>
      </c>
      <c r="I15" s="888"/>
      <c r="J15" s="888"/>
      <c r="K15" s="888"/>
      <c r="L15" s="918"/>
      <c r="M15" s="919"/>
    </row>
    <row r="16" spans="1:13" s="58" customFormat="1" ht="12.75">
      <c r="A16" s="921">
        <v>633</v>
      </c>
      <c r="B16" s="922"/>
      <c r="C16" s="922" t="s">
        <v>544</v>
      </c>
      <c r="D16" s="923">
        <f>SUM(D17,D18,D19,D20,D21,D23,D24,D25,D26,D27,D22)</f>
        <v>12900</v>
      </c>
      <c r="E16" s="924">
        <f>SUM(E17,E18,E19,E20,E21,E23,E24,E25,E26,E27,E22,E28)</f>
        <v>7465.17</v>
      </c>
      <c r="F16" s="923">
        <f>SUM(F17,F18,F19,F20,F21,F23,F24,F25,F26,F27,F22,F28)</f>
        <v>13250</v>
      </c>
      <c r="G16" s="925">
        <f>SUM(G17,G18,G19,G20,G21,G23,G24,G25,G26,G27,G28,G22)</f>
        <v>13510</v>
      </c>
      <c r="H16" s="923">
        <f>SUM(H17,H18,H19,H20,H21,H23,H24,H25,H26,H27,H22)</f>
        <v>0</v>
      </c>
      <c r="I16" s="926"/>
      <c r="J16" s="926"/>
      <c r="K16" s="926"/>
      <c r="L16" s="927"/>
      <c r="M16" s="927"/>
    </row>
    <row r="17" spans="1:13" s="58" customFormat="1" ht="12.75">
      <c r="A17" s="928">
        <v>633</v>
      </c>
      <c r="B17" s="929" t="s">
        <v>114</v>
      </c>
      <c r="C17" s="929" t="s">
        <v>545</v>
      </c>
      <c r="D17" s="284">
        <v>1000</v>
      </c>
      <c r="E17" s="895">
        <v>0</v>
      </c>
      <c r="F17" s="284">
        <v>0</v>
      </c>
      <c r="G17" s="896">
        <v>0</v>
      </c>
      <c r="H17" s="284">
        <v>0</v>
      </c>
      <c r="I17" s="230"/>
      <c r="J17" s="230"/>
      <c r="K17" s="230"/>
      <c r="L17" s="152"/>
      <c r="M17" s="160"/>
    </row>
    <row r="18" spans="1:13" ht="12.75">
      <c r="A18" s="100">
        <v>633</v>
      </c>
      <c r="B18" s="930" t="s">
        <v>117</v>
      </c>
      <c r="C18" s="101" t="s">
        <v>546</v>
      </c>
      <c r="D18" s="284">
        <v>0</v>
      </c>
      <c r="E18" s="895">
        <v>1092</v>
      </c>
      <c r="F18" s="284">
        <v>1100</v>
      </c>
      <c r="G18" s="896">
        <v>1201</v>
      </c>
      <c r="H18" s="284">
        <v>0</v>
      </c>
      <c r="I18" s="230"/>
      <c r="J18" s="230"/>
      <c r="K18" s="230"/>
      <c r="L18" s="152"/>
      <c r="M18" s="160"/>
    </row>
    <row r="19" spans="1:13" ht="12.75">
      <c r="A19" s="100">
        <v>633</v>
      </c>
      <c r="B19" s="930" t="s">
        <v>145</v>
      </c>
      <c r="C19" s="101" t="s">
        <v>547</v>
      </c>
      <c r="D19" s="284">
        <v>0</v>
      </c>
      <c r="E19" s="895">
        <v>0</v>
      </c>
      <c r="F19" s="284">
        <v>0</v>
      </c>
      <c r="G19" s="896">
        <v>200</v>
      </c>
      <c r="H19" s="284">
        <v>0</v>
      </c>
      <c r="I19" s="230"/>
      <c r="J19" s="230"/>
      <c r="K19" s="230"/>
      <c r="L19" s="152"/>
      <c r="M19" s="160"/>
    </row>
    <row r="20" spans="1:13" ht="12.75">
      <c r="A20" s="100">
        <v>633</v>
      </c>
      <c r="B20" s="930" t="s">
        <v>150</v>
      </c>
      <c r="C20" s="101" t="s">
        <v>548</v>
      </c>
      <c r="D20" s="284">
        <v>0</v>
      </c>
      <c r="E20" s="895">
        <v>0</v>
      </c>
      <c r="F20" s="284">
        <v>0</v>
      </c>
      <c r="G20" s="896">
        <v>0</v>
      </c>
      <c r="H20" s="284">
        <v>0</v>
      </c>
      <c r="I20" s="230"/>
      <c r="J20" s="230"/>
      <c r="K20" s="230"/>
      <c r="L20" s="152"/>
      <c r="M20" s="160"/>
    </row>
    <row r="21" spans="1:13" ht="12.75">
      <c r="A21" s="100">
        <v>633</v>
      </c>
      <c r="B21" s="101" t="s">
        <v>150</v>
      </c>
      <c r="C21" s="101" t="s">
        <v>549</v>
      </c>
      <c r="D21" s="284">
        <v>7500</v>
      </c>
      <c r="E21" s="895">
        <v>3485.37</v>
      </c>
      <c r="F21" s="284">
        <v>7100</v>
      </c>
      <c r="G21" s="896">
        <v>7100</v>
      </c>
      <c r="H21" s="284">
        <v>0</v>
      </c>
      <c r="I21" s="230"/>
      <c r="J21" s="230"/>
      <c r="K21" s="230"/>
      <c r="L21" s="152"/>
      <c r="M21" s="160"/>
    </row>
    <row r="22" spans="1:15" ht="12.75">
      <c r="A22" s="883">
        <v>633</v>
      </c>
      <c r="B22" s="931" t="s">
        <v>150</v>
      </c>
      <c r="C22" s="931" t="s">
        <v>550</v>
      </c>
      <c r="D22" s="915">
        <v>0</v>
      </c>
      <c r="E22" s="916">
        <v>81.79</v>
      </c>
      <c r="F22" s="915">
        <v>100</v>
      </c>
      <c r="G22" s="917">
        <v>105</v>
      </c>
      <c r="H22" s="915">
        <v>0</v>
      </c>
      <c r="I22" s="230"/>
      <c r="J22" s="888"/>
      <c r="K22" s="230"/>
      <c r="L22" s="867"/>
      <c r="M22" s="160"/>
      <c r="O22" s="932"/>
    </row>
    <row r="23" spans="1:14" ht="12.75">
      <c r="A23" s="100">
        <v>633</v>
      </c>
      <c r="B23" s="101" t="s">
        <v>551</v>
      </c>
      <c r="C23" s="101" t="s">
        <v>552</v>
      </c>
      <c r="D23" s="284">
        <v>2800</v>
      </c>
      <c r="E23" s="895">
        <v>1266.99</v>
      </c>
      <c r="F23" s="284">
        <v>2800</v>
      </c>
      <c r="G23" s="896">
        <v>2800</v>
      </c>
      <c r="H23" s="284">
        <v>0</v>
      </c>
      <c r="I23" s="230"/>
      <c r="J23" s="230"/>
      <c r="K23" s="230"/>
      <c r="L23" s="152"/>
      <c r="M23" s="160"/>
      <c r="N23" s="933"/>
    </row>
    <row r="24" spans="1:13" ht="12.75">
      <c r="A24" s="100">
        <v>633</v>
      </c>
      <c r="B24" s="101" t="s">
        <v>553</v>
      </c>
      <c r="C24" s="101" t="s">
        <v>554</v>
      </c>
      <c r="D24" s="284">
        <v>0</v>
      </c>
      <c r="E24" s="895">
        <v>0</v>
      </c>
      <c r="F24" s="284">
        <v>0</v>
      </c>
      <c r="G24" s="896">
        <v>0</v>
      </c>
      <c r="H24" s="284">
        <v>0</v>
      </c>
      <c r="I24" s="230"/>
      <c r="J24" s="230"/>
      <c r="K24" s="230"/>
      <c r="L24" s="152"/>
      <c r="M24" s="160"/>
    </row>
    <row r="25" spans="1:13" ht="12.75">
      <c r="A25" s="100">
        <v>633</v>
      </c>
      <c r="B25" s="101" t="s">
        <v>555</v>
      </c>
      <c r="C25" s="101" t="s">
        <v>556</v>
      </c>
      <c r="D25" s="284">
        <v>100</v>
      </c>
      <c r="E25" s="895">
        <v>0</v>
      </c>
      <c r="F25" s="284">
        <v>100</v>
      </c>
      <c r="G25" s="896">
        <v>100</v>
      </c>
      <c r="H25" s="284">
        <v>0</v>
      </c>
      <c r="I25" s="230"/>
      <c r="J25" s="230"/>
      <c r="K25" s="230"/>
      <c r="L25" s="152"/>
      <c r="M25" s="160"/>
    </row>
    <row r="26" spans="1:13" ht="12.75">
      <c r="A26" s="100">
        <v>633</v>
      </c>
      <c r="B26" s="101" t="s">
        <v>124</v>
      </c>
      <c r="C26" s="101" t="s">
        <v>557</v>
      </c>
      <c r="D26" s="284">
        <v>500</v>
      </c>
      <c r="E26" s="895">
        <v>738.55</v>
      </c>
      <c r="F26" s="284">
        <v>750</v>
      </c>
      <c r="G26" s="896">
        <v>750</v>
      </c>
      <c r="H26" s="284">
        <v>0</v>
      </c>
      <c r="I26" s="230"/>
      <c r="J26" s="230"/>
      <c r="K26" s="230"/>
      <c r="L26" s="152"/>
      <c r="M26" s="160"/>
    </row>
    <row r="27" spans="1:13" ht="12.75">
      <c r="A27" s="142">
        <v>633</v>
      </c>
      <c r="B27" s="180" t="s">
        <v>558</v>
      </c>
      <c r="C27" s="180" t="s">
        <v>559</v>
      </c>
      <c r="D27" s="284">
        <v>1000</v>
      </c>
      <c r="E27" s="895">
        <v>629.42</v>
      </c>
      <c r="F27" s="284">
        <v>1000</v>
      </c>
      <c r="G27" s="896">
        <v>1000</v>
      </c>
      <c r="H27" s="284">
        <v>0</v>
      </c>
      <c r="I27" s="230"/>
      <c r="J27" s="230"/>
      <c r="K27" s="230"/>
      <c r="L27" s="152"/>
      <c r="M27" s="160"/>
    </row>
    <row r="28" spans="1:13" s="932" customFormat="1" ht="12.75">
      <c r="A28" s="883">
        <v>633</v>
      </c>
      <c r="B28" s="931" t="s">
        <v>558</v>
      </c>
      <c r="C28" s="931" t="s">
        <v>560</v>
      </c>
      <c r="D28" s="915">
        <v>0</v>
      </c>
      <c r="E28" s="893">
        <v>171.05</v>
      </c>
      <c r="F28" s="915">
        <v>300</v>
      </c>
      <c r="G28" s="917">
        <v>254</v>
      </c>
      <c r="H28" s="915">
        <v>0</v>
      </c>
      <c r="I28" s="888"/>
      <c r="J28" s="888"/>
      <c r="K28" s="888"/>
      <c r="L28" s="934"/>
      <c r="M28" s="935"/>
    </row>
    <row r="29" spans="1:13" s="58" customFormat="1" ht="12.75">
      <c r="A29" s="921">
        <v>634</v>
      </c>
      <c r="B29" s="922"/>
      <c r="C29" s="922" t="s">
        <v>561</v>
      </c>
      <c r="D29" s="936">
        <f>D30+D31+D32+D33+D34+D35</f>
        <v>7500</v>
      </c>
      <c r="E29" s="937">
        <f>SUM(E30,E32,E33,E34,E35,E31)</f>
        <v>3533.4500000000003</v>
      </c>
      <c r="F29" s="936">
        <f>SUM(F30,F32,F33,F34,F35,F31)</f>
        <v>7070</v>
      </c>
      <c r="G29" s="938">
        <f>SUM(G30,G32,G33,G34,G35,G31)</f>
        <v>8441</v>
      </c>
      <c r="H29" s="936">
        <f>SUM(H30,H32,H33,H34,H35,H31)</f>
        <v>0</v>
      </c>
      <c r="I29" s="939"/>
      <c r="J29" s="939"/>
      <c r="K29" s="939"/>
      <c r="L29" s="940"/>
      <c r="M29" s="940"/>
    </row>
    <row r="30" spans="1:13" ht="12.75">
      <c r="A30" s="941">
        <v>634</v>
      </c>
      <c r="B30" s="942" t="s">
        <v>114</v>
      </c>
      <c r="C30" s="942" t="s">
        <v>562</v>
      </c>
      <c r="D30" s="284">
        <v>4500</v>
      </c>
      <c r="E30" s="895">
        <v>2074.68</v>
      </c>
      <c r="F30" s="284">
        <v>4000</v>
      </c>
      <c r="G30" s="896">
        <v>4550</v>
      </c>
      <c r="H30" s="284">
        <v>0</v>
      </c>
      <c r="I30" s="230"/>
      <c r="J30" s="230"/>
      <c r="K30" s="230"/>
      <c r="L30" s="152"/>
      <c r="M30" s="160"/>
    </row>
    <row r="31" spans="1:13" s="932" customFormat="1" ht="12.75">
      <c r="A31" s="943">
        <v>634</v>
      </c>
      <c r="B31" s="944" t="s">
        <v>114</v>
      </c>
      <c r="C31" s="944" t="s">
        <v>563</v>
      </c>
      <c r="D31" s="915">
        <v>0</v>
      </c>
      <c r="E31" s="916">
        <v>75</v>
      </c>
      <c r="F31" s="915">
        <v>100</v>
      </c>
      <c r="G31" s="917">
        <v>121</v>
      </c>
      <c r="H31" s="915">
        <v>0</v>
      </c>
      <c r="I31" s="888"/>
      <c r="J31" s="888"/>
      <c r="K31" s="888"/>
      <c r="L31" s="934"/>
      <c r="M31" s="935"/>
    </row>
    <row r="32" spans="1:13" ht="12.75">
      <c r="A32" s="100">
        <v>634</v>
      </c>
      <c r="B32" s="101" t="s">
        <v>117</v>
      </c>
      <c r="C32" s="101" t="s">
        <v>564</v>
      </c>
      <c r="D32" s="284">
        <v>1500</v>
      </c>
      <c r="E32" s="895">
        <v>275.98</v>
      </c>
      <c r="F32" s="284">
        <v>1500</v>
      </c>
      <c r="G32" s="896">
        <v>1600</v>
      </c>
      <c r="H32" s="284">
        <v>0</v>
      </c>
      <c r="I32" s="230"/>
      <c r="J32" s="230"/>
      <c r="K32" s="230"/>
      <c r="L32" s="152"/>
      <c r="M32" s="160"/>
    </row>
    <row r="33" spans="1:13" ht="12.75">
      <c r="A33" s="100">
        <v>634</v>
      </c>
      <c r="B33" s="101" t="s">
        <v>112</v>
      </c>
      <c r="C33" s="101" t="s">
        <v>565</v>
      </c>
      <c r="D33" s="284">
        <v>300</v>
      </c>
      <c r="E33" s="895">
        <v>252.17</v>
      </c>
      <c r="F33" s="284">
        <v>300</v>
      </c>
      <c r="G33" s="896">
        <v>300</v>
      </c>
      <c r="H33" s="284">
        <v>0</v>
      </c>
      <c r="I33" s="230"/>
      <c r="J33" s="230"/>
      <c r="K33" s="230"/>
      <c r="L33" s="152"/>
      <c r="M33" s="160"/>
    </row>
    <row r="34" spans="1:13" ht="12.75">
      <c r="A34" s="100">
        <v>634</v>
      </c>
      <c r="B34" s="101" t="s">
        <v>133</v>
      </c>
      <c r="C34" s="101" t="s">
        <v>566</v>
      </c>
      <c r="D34" s="284">
        <v>1000</v>
      </c>
      <c r="E34" s="895">
        <v>704.82</v>
      </c>
      <c r="F34" s="284">
        <v>1000</v>
      </c>
      <c r="G34" s="896">
        <v>1700</v>
      </c>
      <c r="H34" s="284">
        <v>0</v>
      </c>
      <c r="I34" s="230"/>
      <c r="J34" s="230"/>
      <c r="K34" s="230"/>
      <c r="L34" s="152"/>
      <c r="M34" s="160"/>
    </row>
    <row r="35" spans="1:13" ht="12.75">
      <c r="A35" s="142">
        <v>634</v>
      </c>
      <c r="B35" s="180" t="s">
        <v>145</v>
      </c>
      <c r="C35" s="180" t="s">
        <v>567</v>
      </c>
      <c r="D35" s="284">
        <v>200</v>
      </c>
      <c r="E35" s="895">
        <v>150.8</v>
      </c>
      <c r="F35" s="284">
        <v>170</v>
      </c>
      <c r="G35" s="896">
        <v>170</v>
      </c>
      <c r="H35" s="284">
        <v>0</v>
      </c>
      <c r="I35" s="230"/>
      <c r="J35" s="230"/>
      <c r="K35" s="230"/>
      <c r="L35" s="152"/>
      <c r="M35" s="160"/>
    </row>
    <row r="36" spans="1:13" s="58" customFormat="1" ht="12.75">
      <c r="A36" s="945">
        <v>635</v>
      </c>
      <c r="B36" s="946"/>
      <c r="C36" s="946" t="s">
        <v>568</v>
      </c>
      <c r="D36" s="936">
        <f>SUM(D37,D38,D39)</f>
        <v>2200</v>
      </c>
      <c r="E36" s="937">
        <f>SUM(E37,E38,E39)</f>
        <v>360.60999999999996</v>
      </c>
      <c r="F36" s="936">
        <f>SUM(F37,F38,F39)</f>
        <v>1500</v>
      </c>
      <c r="G36" s="938">
        <f>SUM(G37,G38,G39)</f>
        <v>1300</v>
      </c>
      <c r="H36" s="936">
        <f>SUM(H37,H38,H39)</f>
        <v>0</v>
      </c>
      <c r="I36" s="939"/>
      <c r="J36" s="939"/>
      <c r="K36" s="939"/>
      <c r="L36" s="940"/>
      <c r="M36" s="940"/>
    </row>
    <row r="37" spans="1:13" ht="12.75">
      <c r="A37" s="941">
        <v>635</v>
      </c>
      <c r="B37" s="942" t="s">
        <v>117</v>
      </c>
      <c r="C37" s="942" t="s">
        <v>569</v>
      </c>
      <c r="D37" s="284">
        <v>200</v>
      </c>
      <c r="E37" s="895">
        <v>0</v>
      </c>
      <c r="F37" s="284">
        <v>200</v>
      </c>
      <c r="G37" s="896">
        <v>0</v>
      </c>
      <c r="H37" s="284">
        <v>0</v>
      </c>
      <c r="I37" s="230"/>
      <c r="J37" s="230"/>
      <c r="K37" s="230"/>
      <c r="L37" s="152"/>
      <c r="M37" s="160"/>
    </row>
    <row r="38" spans="1:13" ht="12.75">
      <c r="A38" s="100">
        <v>635</v>
      </c>
      <c r="B38" s="101" t="s">
        <v>133</v>
      </c>
      <c r="C38" s="101" t="s">
        <v>570</v>
      </c>
      <c r="D38" s="284">
        <v>1000</v>
      </c>
      <c r="E38" s="895">
        <v>30.21</v>
      </c>
      <c r="F38" s="284">
        <v>500</v>
      </c>
      <c r="G38" s="896">
        <v>500</v>
      </c>
      <c r="H38" s="284">
        <v>0</v>
      </c>
      <c r="I38" s="230"/>
      <c r="J38" s="230"/>
      <c r="K38" s="230"/>
      <c r="L38" s="152"/>
      <c r="M38" s="160"/>
    </row>
    <row r="39" spans="1:13" ht="12.75">
      <c r="A39" s="142">
        <v>635</v>
      </c>
      <c r="B39" s="180" t="s">
        <v>150</v>
      </c>
      <c r="C39" s="180" t="s">
        <v>571</v>
      </c>
      <c r="D39" s="284">
        <v>1000</v>
      </c>
      <c r="E39" s="895">
        <v>330.4</v>
      </c>
      <c r="F39" s="284">
        <v>800</v>
      </c>
      <c r="G39" s="896">
        <v>800</v>
      </c>
      <c r="H39" s="284">
        <v>0</v>
      </c>
      <c r="I39" s="230"/>
      <c r="J39" s="230"/>
      <c r="K39" s="230"/>
      <c r="L39" s="152"/>
      <c r="M39" s="160"/>
    </row>
    <row r="40" spans="1:13" s="58" customFormat="1" ht="12.75">
      <c r="A40" s="945">
        <v>636</v>
      </c>
      <c r="B40" s="946"/>
      <c r="C40" s="946" t="s">
        <v>572</v>
      </c>
      <c r="D40" s="936">
        <f>SUM(D41,D42,D43)</f>
        <v>900</v>
      </c>
      <c r="E40" s="937">
        <f>SUM(E41,E42,E43)</f>
        <v>775.6</v>
      </c>
      <c r="F40" s="936">
        <f>SUM(F41,F42,F43)</f>
        <v>910</v>
      </c>
      <c r="G40" s="938">
        <f>SUM(G41,G42,G43)</f>
        <v>1210</v>
      </c>
      <c r="H40" s="936">
        <f>SUM(H41,H42,H43)</f>
        <v>0</v>
      </c>
      <c r="I40" s="939"/>
      <c r="J40" s="939"/>
      <c r="K40" s="939"/>
      <c r="L40" s="940"/>
      <c r="M40" s="940"/>
    </row>
    <row r="41" spans="1:13" ht="12.75">
      <c r="A41" s="941">
        <v>636</v>
      </c>
      <c r="B41" s="942" t="s">
        <v>114</v>
      </c>
      <c r="C41" s="942" t="s">
        <v>571</v>
      </c>
      <c r="D41" s="284">
        <v>600</v>
      </c>
      <c r="E41" s="895">
        <v>607.6</v>
      </c>
      <c r="F41" s="284">
        <v>610</v>
      </c>
      <c r="G41" s="896">
        <v>1010</v>
      </c>
      <c r="H41" s="284">
        <v>0</v>
      </c>
      <c r="I41" s="230"/>
      <c r="J41" s="230"/>
      <c r="K41" s="230"/>
      <c r="L41" s="152"/>
      <c r="M41" s="160"/>
    </row>
    <row r="42" spans="1:13" ht="12.75">
      <c r="A42" s="947">
        <v>636</v>
      </c>
      <c r="B42" s="123" t="s">
        <v>117</v>
      </c>
      <c r="C42" s="123" t="s">
        <v>570</v>
      </c>
      <c r="D42" s="284">
        <v>300</v>
      </c>
      <c r="E42" s="895">
        <v>168</v>
      </c>
      <c r="F42" s="284">
        <v>300</v>
      </c>
      <c r="G42" s="896">
        <v>200</v>
      </c>
      <c r="H42" s="284">
        <v>0</v>
      </c>
      <c r="I42" s="230"/>
      <c r="J42" s="230"/>
      <c r="K42" s="230"/>
      <c r="L42" s="152"/>
      <c r="M42" s="160"/>
    </row>
    <row r="43" spans="1:13" ht="12.75">
      <c r="A43" s="100">
        <v>636</v>
      </c>
      <c r="B43" s="101" t="s">
        <v>133</v>
      </c>
      <c r="C43" s="101" t="s">
        <v>573</v>
      </c>
      <c r="D43" s="284">
        <v>0</v>
      </c>
      <c r="E43" s="895">
        <v>0</v>
      </c>
      <c r="F43" s="284">
        <v>0</v>
      </c>
      <c r="G43" s="896">
        <v>0</v>
      </c>
      <c r="H43" s="284">
        <v>0</v>
      </c>
      <c r="I43" s="230"/>
      <c r="J43" s="230"/>
      <c r="K43" s="230"/>
      <c r="L43" s="152"/>
      <c r="M43" s="160"/>
    </row>
    <row r="44" spans="1:13" ht="12.75" hidden="1">
      <c r="A44" s="947"/>
      <c r="B44" s="123"/>
      <c r="C44" s="123"/>
      <c r="D44" s="284"/>
      <c r="E44" s="895"/>
      <c r="F44" s="284"/>
      <c r="G44" s="896"/>
      <c r="H44" s="284"/>
      <c r="I44" s="230"/>
      <c r="J44" s="152"/>
      <c r="K44" s="230"/>
      <c r="L44" s="152"/>
      <c r="M44" s="152"/>
    </row>
    <row r="45" spans="1:13" ht="12.75" hidden="1">
      <c r="A45" s="947"/>
      <c r="B45" s="123"/>
      <c r="C45" s="123"/>
      <c r="D45" s="284"/>
      <c r="E45" s="895"/>
      <c r="F45" s="284"/>
      <c r="G45" s="896"/>
      <c r="H45" s="284"/>
      <c r="I45" s="230"/>
      <c r="J45" s="152"/>
      <c r="K45" s="230"/>
      <c r="L45" s="152"/>
      <c r="M45" s="152"/>
    </row>
    <row r="46" spans="1:11" ht="12.75" hidden="1">
      <c r="A46" s="947"/>
      <c r="B46" s="123"/>
      <c r="C46" s="123"/>
      <c r="D46" s="948"/>
      <c r="E46" s="949"/>
      <c r="F46" s="948"/>
      <c r="G46" s="950"/>
      <c r="H46" s="948"/>
      <c r="I46" s="59"/>
      <c r="K46" s="59"/>
    </row>
    <row r="47" spans="1:11" ht="12.75" hidden="1">
      <c r="A47" s="947"/>
      <c r="B47" s="123"/>
      <c r="C47" s="123"/>
      <c r="D47" s="948"/>
      <c r="E47" s="949"/>
      <c r="F47" s="948"/>
      <c r="G47" s="950"/>
      <c r="H47" s="948"/>
      <c r="I47" s="59"/>
      <c r="K47" s="59"/>
    </row>
    <row r="48" spans="1:13" s="58" customFormat="1" ht="12.75">
      <c r="A48" s="945">
        <v>637</v>
      </c>
      <c r="B48" s="946"/>
      <c r="C48" s="946" t="s">
        <v>574</v>
      </c>
      <c r="D48" s="936">
        <f>D49+D50+D51+D52+D56+D57+D58+D59+D60+D61+D62+D64</f>
        <v>31650</v>
      </c>
      <c r="E48" s="937">
        <f>E49+E50+E51+E52+E56+E57+E58+E59+E60+E61+E62+63+E64+E54</f>
        <v>23437.510000000002</v>
      </c>
      <c r="F48" s="936">
        <f>F49+F50+F51+F52+F56+F57+F58+F59+F60+F61+F62+F63+F64</f>
        <v>37970</v>
      </c>
      <c r="G48" s="938">
        <f>G49+G50+G51+G52+G56+G57+G58+G59+G60+G61+G62+G63+G64</f>
        <v>41152</v>
      </c>
      <c r="H48" s="936">
        <f>H49+H50+H51+H52+H56+H57+H58+H59+H60+H61+H62+H63+H64</f>
        <v>0</v>
      </c>
      <c r="I48" s="939"/>
      <c r="J48" s="939"/>
      <c r="K48" s="939"/>
      <c r="L48" s="940"/>
      <c r="M48" s="940"/>
    </row>
    <row r="49" spans="1:13" ht="12.75">
      <c r="A49" s="941">
        <v>637</v>
      </c>
      <c r="B49" s="942" t="s">
        <v>114</v>
      </c>
      <c r="C49" s="942" t="s">
        <v>575</v>
      </c>
      <c r="D49" s="284">
        <v>50</v>
      </c>
      <c r="E49" s="895">
        <v>61</v>
      </c>
      <c r="F49" s="284">
        <v>70</v>
      </c>
      <c r="G49" s="896">
        <v>170</v>
      </c>
      <c r="H49" s="284">
        <v>0</v>
      </c>
      <c r="I49" s="230"/>
      <c r="J49" s="230"/>
      <c r="K49" s="230"/>
      <c r="L49" s="152"/>
      <c r="M49" s="152"/>
    </row>
    <row r="50" spans="1:13" ht="12.75">
      <c r="A50" s="100">
        <v>637</v>
      </c>
      <c r="B50" s="101" t="s">
        <v>576</v>
      </c>
      <c r="C50" s="101" t="s">
        <v>577</v>
      </c>
      <c r="D50" s="284">
        <v>500</v>
      </c>
      <c r="E50" s="895">
        <v>143.59</v>
      </c>
      <c r="F50" s="284">
        <v>150</v>
      </c>
      <c r="G50" s="896">
        <v>150</v>
      </c>
      <c r="H50" s="284">
        <v>0</v>
      </c>
      <c r="I50" s="230"/>
      <c r="J50" s="230"/>
      <c r="K50" s="230"/>
      <c r="L50" s="152"/>
      <c r="M50" s="152"/>
    </row>
    <row r="51" spans="1:13" ht="12.75">
      <c r="A51" s="100">
        <v>637</v>
      </c>
      <c r="B51" s="101" t="s">
        <v>112</v>
      </c>
      <c r="C51" s="101" t="s">
        <v>578</v>
      </c>
      <c r="D51" s="284">
        <v>550</v>
      </c>
      <c r="E51" s="895">
        <v>121.2</v>
      </c>
      <c r="F51" s="284">
        <v>550</v>
      </c>
      <c r="G51" s="896">
        <v>2000</v>
      </c>
      <c r="H51" s="284">
        <v>0</v>
      </c>
      <c r="I51" s="230"/>
      <c r="J51" s="230"/>
      <c r="K51" s="230"/>
      <c r="L51" s="152"/>
      <c r="M51" s="152"/>
    </row>
    <row r="52" spans="1:13" ht="12.75">
      <c r="A52" s="100">
        <v>637</v>
      </c>
      <c r="B52" s="101" t="s">
        <v>133</v>
      </c>
      <c r="C52" s="101" t="s">
        <v>579</v>
      </c>
      <c r="D52" s="284">
        <v>10000</v>
      </c>
      <c r="E52" s="895">
        <v>7713.61</v>
      </c>
      <c r="F52" s="284">
        <v>10000</v>
      </c>
      <c r="G52" s="896">
        <v>12000</v>
      </c>
      <c r="H52" s="284">
        <v>0</v>
      </c>
      <c r="I52" s="230"/>
      <c r="J52" s="230"/>
      <c r="K52" s="230"/>
      <c r="L52" s="152"/>
      <c r="M52" s="152"/>
    </row>
    <row r="53" spans="1:13" ht="12.75">
      <c r="A53" s="100">
        <v>637</v>
      </c>
      <c r="B53" s="101" t="s">
        <v>133</v>
      </c>
      <c r="C53" s="101" t="s">
        <v>580</v>
      </c>
      <c r="D53" s="951">
        <v>0</v>
      </c>
      <c r="E53" s="895">
        <v>0</v>
      </c>
      <c r="F53" s="284">
        <v>0</v>
      </c>
      <c r="G53" s="896">
        <v>0</v>
      </c>
      <c r="H53" s="284">
        <v>0</v>
      </c>
      <c r="I53" s="230"/>
      <c r="J53" s="113"/>
      <c r="K53" s="230"/>
      <c r="L53" s="952"/>
      <c r="M53" s="152"/>
    </row>
    <row r="54" spans="1:13" ht="12.75">
      <c r="A54" s="100">
        <v>637</v>
      </c>
      <c r="B54" s="101" t="s">
        <v>145</v>
      </c>
      <c r="C54" s="101" t="s">
        <v>581</v>
      </c>
      <c r="D54" s="284">
        <v>0</v>
      </c>
      <c r="E54" s="895">
        <v>0</v>
      </c>
      <c r="F54" s="284">
        <v>0</v>
      </c>
      <c r="G54" s="896">
        <v>0</v>
      </c>
      <c r="H54" s="284">
        <v>0</v>
      </c>
      <c r="I54" s="230"/>
      <c r="J54" s="230"/>
      <c r="K54" s="230"/>
      <c r="L54" s="152"/>
      <c r="M54" s="152"/>
    </row>
    <row r="55" spans="1:13" ht="12.75">
      <c r="A55" s="100">
        <v>637</v>
      </c>
      <c r="B55" s="101" t="s">
        <v>555</v>
      </c>
      <c r="C55" s="101" t="s">
        <v>582</v>
      </c>
      <c r="D55" s="284">
        <v>0</v>
      </c>
      <c r="E55" s="895">
        <v>0</v>
      </c>
      <c r="F55" s="284">
        <v>0</v>
      </c>
      <c r="G55" s="896">
        <v>0</v>
      </c>
      <c r="H55" s="284">
        <v>0</v>
      </c>
      <c r="I55" s="230"/>
      <c r="J55" s="230"/>
      <c r="K55" s="230"/>
      <c r="L55" s="152"/>
      <c r="M55" s="152"/>
    </row>
    <row r="56" spans="1:13" ht="12.75">
      <c r="A56" s="100">
        <v>637</v>
      </c>
      <c r="B56" s="101" t="s">
        <v>123</v>
      </c>
      <c r="C56" s="101" t="s">
        <v>583</v>
      </c>
      <c r="D56" s="284">
        <v>2000</v>
      </c>
      <c r="E56" s="895">
        <v>1860.95</v>
      </c>
      <c r="F56" s="284">
        <v>2000</v>
      </c>
      <c r="G56" s="896">
        <v>2700</v>
      </c>
      <c r="H56" s="284">
        <v>0</v>
      </c>
      <c r="I56" s="230"/>
      <c r="J56" s="230"/>
      <c r="K56" s="230"/>
      <c r="L56" s="152"/>
      <c r="M56" s="152"/>
    </row>
    <row r="57" spans="1:13" ht="12.75">
      <c r="A57" s="941">
        <v>637</v>
      </c>
      <c r="B57" s="942" t="s">
        <v>127</v>
      </c>
      <c r="C57" s="942" t="s">
        <v>584</v>
      </c>
      <c r="D57" s="284">
        <v>16000</v>
      </c>
      <c r="E57" s="895">
        <v>8121.39</v>
      </c>
      <c r="F57" s="284">
        <v>16000</v>
      </c>
      <c r="G57" s="896">
        <v>16000</v>
      </c>
      <c r="H57" s="284">
        <v>0</v>
      </c>
      <c r="I57" s="190"/>
      <c r="K57" s="160"/>
      <c r="L57" s="152"/>
      <c r="M57" s="152"/>
    </row>
    <row r="58" spans="1:13" s="932" customFormat="1" ht="12.75">
      <c r="A58" s="883">
        <v>637</v>
      </c>
      <c r="B58" s="931" t="s">
        <v>127</v>
      </c>
      <c r="C58" s="931" t="s">
        <v>585</v>
      </c>
      <c r="D58" s="953">
        <v>0</v>
      </c>
      <c r="E58" s="954">
        <v>930</v>
      </c>
      <c r="F58" s="953">
        <v>1000</v>
      </c>
      <c r="G58" s="955">
        <v>1262</v>
      </c>
      <c r="H58" s="953">
        <v>0</v>
      </c>
      <c r="I58" s="956"/>
      <c r="J58" s="920"/>
      <c r="K58" s="935"/>
      <c r="L58" s="934"/>
      <c r="M58" s="934"/>
    </row>
    <row r="59" spans="1:13" ht="12.75">
      <c r="A59" s="100">
        <v>637</v>
      </c>
      <c r="B59" s="101" t="s">
        <v>586</v>
      </c>
      <c r="C59" s="101" t="s">
        <v>587</v>
      </c>
      <c r="D59" s="284">
        <v>1500</v>
      </c>
      <c r="E59" s="895">
        <v>804.78</v>
      </c>
      <c r="F59" s="284">
        <v>1250</v>
      </c>
      <c r="G59" s="896">
        <v>1250</v>
      </c>
      <c r="H59" s="284">
        <v>0</v>
      </c>
      <c r="I59" s="190"/>
      <c r="K59" s="160"/>
      <c r="L59" s="152"/>
      <c r="M59" s="152"/>
    </row>
    <row r="60" spans="1:13" ht="12.75">
      <c r="A60" s="100">
        <v>637</v>
      </c>
      <c r="B60" s="101" t="s">
        <v>558</v>
      </c>
      <c r="C60" s="101" t="s">
        <v>588</v>
      </c>
      <c r="D60" s="284">
        <v>800</v>
      </c>
      <c r="E60" s="895">
        <v>351.63</v>
      </c>
      <c r="F60" s="284">
        <v>800</v>
      </c>
      <c r="G60" s="896">
        <v>1020</v>
      </c>
      <c r="H60" s="284">
        <v>0</v>
      </c>
      <c r="I60" s="957"/>
      <c r="K60" s="160"/>
      <c r="L60" s="152"/>
      <c r="M60" s="152"/>
    </row>
    <row r="61" spans="1:13" ht="12.75">
      <c r="A61" s="100">
        <v>637</v>
      </c>
      <c r="B61" s="101" t="s">
        <v>589</v>
      </c>
      <c r="C61" s="101" t="s">
        <v>590</v>
      </c>
      <c r="D61" s="284">
        <v>0</v>
      </c>
      <c r="E61" s="895">
        <v>0</v>
      </c>
      <c r="F61" s="284">
        <v>0</v>
      </c>
      <c r="G61" s="896">
        <v>0</v>
      </c>
      <c r="H61" s="284">
        <v>0</v>
      </c>
      <c r="I61" s="957"/>
      <c r="K61" s="160"/>
      <c r="L61" s="152"/>
      <c r="M61" s="152"/>
    </row>
    <row r="62" spans="1:13" ht="12.75">
      <c r="A62" s="100">
        <v>637</v>
      </c>
      <c r="B62" s="101" t="s">
        <v>591</v>
      </c>
      <c r="C62" s="101" t="s">
        <v>592</v>
      </c>
      <c r="D62" s="284">
        <v>250</v>
      </c>
      <c r="E62" s="895">
        <v>28</v>
      </c>
      <c r="F62" s="284">
        <v>150</v>
      </c>
      <c r="G62" s="896">
        <v>150</v>
      </c>
      <c r="H62" s="284">
        <v>0</v>
      </c>
      <c r="I62" s="190"/>
      <c r="K62" s="152"/>
      <c r="L62" s="152"/>
      <c r="M62" s="152"/>
    </row>
    <row r="63" spans="1:256" ht="12.75" hidden="1">
      <c r="A63" s="958"/>
      <c r="B63" s="307"/>
      <c r="C63" s="307"/>
      <c r="D63" s="307"/>
      <c r="E63" s="307"/>
      <c r="F63" s="959"/>
      <c r="G63" s="307"/>
      <c r="H63" s="96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961">
        <v>637</v>
      </c>
      <c r="B64" s="962" t="s">
        <v>593</v>
      </c>
      <c r="C64" s="962" t="s">
        <v>594</v>
      </c>
      <c r="D64" s="963">
        <v>0</v>
      </c>
      <c r="E64" s="964">
        <v>3238.36</v>
      </c>
      <c r="F64" s="963">
        <v>6000</v>
      </c>
      <c r="G64" s="965">
        <v>4450</v>
      </c>
      <c r="H64" s="963"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3" s="932" customFormat="1" ht="12.75">
      <c r="A65" s="966">
        <v>640</v>
      </c>
      <c r="B65" s="946"/>
      <c r="C65" s="946" t="s">
        <v>595</v>
      </c>
      <c r="D65" s="923">
        <f>D67+D68+D69+D70+D66</f>
        <v>10000</v>
      </c>
      <c r="E65" s="924">
        <f>E67+E68+E69+E70+E66</f>
        <v>6994.4</v>
      </c>
      <c r="F65" s="923">
        <f>F67+F68+F69+F70+F66</f>
        <v>12400</v>
      </c>
      <c r="G65" s="925">
        <f>G67+G68+G69+G70+G66</f>
        <v>13512</v>
      </c>
      <c r="H65" s="923">
        <f>H67+H68+H69+H70</f>
        <v>0</v>
      </c>
      <c r="I65" s="956"/>
      <c r="J65" s="920"/>
      <c r="K65" s="934"/>
      <c r="L65" s="867"/>
      <c r="M65" s="934"/>
    </row>
    <row r="66" spans="1:13" s="968" customFormat="1" ht="12.75">
      <c r="A66" s="967">
        <v>642</v>
      </c>
      <c r="B66" s="929" t="s">
        <v>114</v>
      </c>
      <c r="C66" s="929" t="s">
        <v>596</v>
      </c>
      <c r="D66" s="121">
        <v>1000</v>
      </c>
      <c r="E66" s="179">
        <v>0</v>
      </c>
      <c r="F66" s="121">
        <v>700</v>
      </c>
      <c r="G66" s="176">
        <v>1200</v>
      </c>
      <c r="H66" s="121"/>
      <c r="I66" s="927"/>
      <c r="J66" s="927"/>
      <c r="K66" s="927"/>
      <c r="L66" s="927"/>
      <c r="M66" s="927"/>
    </row>
    <row r="67" spans="1:13" s="968" customFormat="1" ht="12.75">
      <c r="A67" s="967">
        <v>642</v>
      </c>
      <c r="B67" s="929" t="s">
        <v>117</v>
      </c>
      <c r="C67" s="929" t="s">
        <v>597</v>
      </c>
      <c r="D67" s="284">
        <v>0</v>
      </c>
      <c r="E67" s="895">
        <v>2077.3</v>
      </c>
      <c r="F67" s="284">
        <v>2100</v>
      </c>
      <c r="G67" s="896">
        <v>2582</v>
      </c>
      <c r="H67" s="284">
        <v>0</v>
      </c>
      <c r="I67" s="927"/>
      <c r="J67" s="927"/>
      <c r="K67" s="927"/>
      <c r="L67" s="927"/>
      <c r="M67" s="927"/>
    </row>
    <row r="68" spans="1:13" s="58" customFormat="1" ht="12.75">
      <c r="A68" s="142">
        <v>642</v>
      </c>
      <c r="B68" s="143" t="s">
        <v>150</v>
      </c>
      <c r="C68" s="143" t="s">
        <v>598</v>
      </c>
      <c r="D68" s="284">
        <v>1000</v>
      </c>
      <c r="E68" s="895">
        <v>1593.6</v>
      </c>
      <c r="F68" s="284">
        <v>1600</v>
      </c>
      <c r="G68" s="896">
        <v>3500</v>
      </c>
      <c r="H68" s="284">
        <v>0</v>
      </c>
      <c r="I68" s="969"/>
      <c r="K68" s="152"/>
      <c r="L68" s="152"/>
      <c r="M68" s="152"/>
    </row>
    <row r="69" spans="1:13" ht="12.75">
      <c r="A69" s="100">
        <v>651</v>
      </c>
      <c r="B69" s="89" t="s">
        <v>117</v>
      </c>
      <c r="C69" s="89" t="s">
        <v>599</v>
      </c>
      <c r="D69" s="284">
        <v>7700</v>
      </c>
      <c r="E69" s="895">
        <v>3210.66</v>
      </c>
      <c r="F69" s="284">
        <v>7700</v>
      </c>
      <c r="G69" s="896">
        <v>6000</v>
      </c>
      <c r="H69" s="284">
        <v>0</v>
      </c>
      <c r="I69" s="969"/>
      <c r="K69" s="152"/>
      <c r="L69" s="152"/>
      <c r="M69" s="152"/>
    </row>
    <row r="70" spans="1:13" ht="12.75">
      <c r="A70" s="88">
        <v>653</v>
      </c>
      <c r="B70" s="89" t="s">
        <v>117</v>
      </c>
      <c r="C70" s="89" t="s">
        <v>600</v>
      </c>
      <c r="D70" s="284">
        <v>300</v>
      </c>
      <c r="E70" s="895">
        <v>112.84</v>
      </c>
      <c r="F70" s="284">
        <v>300</v>
      </c>
      <c r="G70" s="896">
        <v>230</v>
      </c>
      <c r="H70" s="284">
        <v>0</v>
      </c>
      <c r="I70" s="969"/>
      <c r="K70" s="160"/>
      <c r="L70" s="152"/>
      <c r="M70" s="152"/>
    </row>
    <row r="71" spans="1:13" ht="12.75">
      <c r="A71" s="970" t="s">
        <v>601</v>
      </c>
      <c r="B71" s="971"/>
      <c r="C71" s="971"/>
      <c r="D71" s="972">
        <f>SUM(D72,D73,D74,D75,D76)</f>
        <v>15000</v>
      </c>
      <c r="E71" s="973">
        <f>SUM(E72,E73,E74,E75,E76)</f>
        <v>4327.11</v>
      </c>
      <c r="F71" s="133">
        <f>F72+F73+F74+F75+F76</f>
        <v>13200</v>
      </c>
      <c r="G71" s="172">
        <f>SUM(G72:G76)</f>
        <v>14140</v>
      </c>
      <c r="H71" s="133">
        <f>H72+H73+H74+H75+H76</f>
        <v>0</v>
      </c>
      <c r="I71" s="969"/>
      <c r="K71" s="152"/>
      <c r="L71" s="152"/>
      <c r="M71" s="152"/>
    </row>
    <row r="72" spans="1:13" s="55" customFormat="1" ht="12.75">
      <c r="A72" s="941">
        <v>610</v>
      </c>
      <c r="B72" s="942"/>
      <c r="C72" s="974" t="s">
        <v>538</v>
      </c>
      <c r="D72" s="229">
        <v>7200</v>
      </c>
      <c r="E72" s="257">
        <v>2958.47</v>
      </c>
      <c r="F72" s="117">
        <v>6000</v>
      </c>
      <c r="G72" s="975">
        <v>7800</v>
      </c>
      <c r="H72" s="117">
        <v>0</v>
      </c>
      <c r="I72" s="876"/>
      <c r="J72" s="976"/>
      <c r="K72" s="876"/>
      <c r="L72" s="876"/>
      <c r="M72" s="876"/>
    </row>
    <row r="73" spans="1:13" ht="12.75">
      <c r="A73" s="100">
        <v>620</v>
      </c>
      <c r="B73" s="101"/>
      <c r="C73" s="89" t="s">
        <v>242</v>
      </c>
      <c r="D73" s="229">
        <v>2500</v>
      </c>
      <c r="E73" s="257">
        <v>1061.02</v>
      </c>
      <c r="F73" s="117">
        <v>2100</v>
      </c>
      <c r="G73" s="975">
        <v>2800</v>
      </c>
      <c r="H73" s="117">
        <v>0</v>
      </c>
      <c r="I73" s="160"/>
      <c r="K73" s="160"/>
      <c r="L73" s="152"/>
      <c r="M73" s="152"/>
    </row>
    <row r="74" spans="1:13" ht="12.75">
      <c r="A74" s="100">
        <v>637</v>
      </c>
      <c r="B74" s="101"/>
      <c r="C74" s="89" t="s">
        <v>256</v>
      </c>
      <c r="D74" s="228">
        <v>300</v>
      </c>
      <c r="E74" s="252">
        <v>30.28</v>
      </c>
      <c r="F74" s="105">
        <v>100</v>
      </c>
      <c r="G74" s="977">
        <v>100</v>
      </c>
      <c r="H74" s="145">
        <v>0</v>
      </c>
      <c r="I74" s="160"/>
      <c r="K74" s="160"/>
      <c r="L74" s="152"/>
      <c r="M74" s="152"/>
    </row>
    <row r="75" spans="1:13" ht="12.75">
      <c r="A75" s="100">
        <v>637</v>
      </c>
      <c r="B75" s="101" t="s">
        <v>602</v>
      </c>
      <c r="C75" s="101" t="s">
        <v>603</v>
      </c>
      <c r="D75" s="284">
        <v>3500</v>
      </c>
      <c r="E75" s="895">
        <v>277.34</v>
      </c>
      <c r="F75" s="284">
        <v>3500</v>
      </c>
      <c r="G75" s="896">
        <v>2000</v>
      </c>
      <c r="H75" s="284">
        <v>0</v>
      </c>
      <c r="I75" s="160"/>
      <c r="K75" s="152"/>
      <c r="L75" s="152"/>
      <c r="M75" s="152"/>
    </row>
    <row r="76" spans="1:13" ht="12.75">
      <c r="A76" s="100">
        <v>637</v>
      </c>
      <c r="B76" s="101"/>
      <c r="C76" s="89" t="s">
        <v>604</v>
      </c>
      <c r="D76" s="229">
        <v>1500</v>
      </c>
      <c r="E76" s="257">
        <v>0</v>
      </c>
      <c r="F76" s="121">
        <v>1500</v>
      </c>
      <c r="G76" s="975">
        <v>1440</v>
      </c>
      <c r="H76" s="117">
        <v>0</v>
      </c>
      <c r="I76" s="160"/>
      <c r="K76" s="152"/>
      <c r="L76" s="152"/>
      <c r="M76" s="152"/>
    </row>
    <row r="77" spans="1:13" ht="12.75">
      <c r="A77" s="947"/>
      <c r="B77" s="123"/>
      <c r="C77" s="152"/>
      <c r="D77" s="978"/>
      <c r="E77" s="978"/>
      <c r="F77" s="108"/>
      <c r="G77" s="265"/>
      <c r="H77" s="265"/>
      <c r="I77" s="160"/>
      <c r="K77" s="152"/>
      <c r="L77" s="152"/>
      <c r="M77" s="152"/>
    </row>
    <row r="78" spans="1:13" ht="12.75">
      <c r="A78" s="858" t="s">
        <v>498</v>
      </c>
      <c r="B78" s="859"/>
      <c r="C78" s="860"/>
      <c r="D78" s="979">
        <v>2014</v>
      </c>
      <c r="E78" s="861" t="s">
        <v>108</v>
      </c>
      <c r="F78" s="980" t="s">
        <v>109</v>
      </c>
      <c r="G78" s="981" t="s">
        <v>110</v>
      </c>
      <c r="H78" s="980"/>
      <c r="I78" s="160"/>
      <c r="K78" s="152"/>
      <c r="L78" s="152"/>
      <c r="M78" s="152"/>
    </row>
    <row r="79" spans="1:9" ht="12.75">
      <c r="A79" s="982" t="s">
        <v>605</v>
      </c>
      <c r="B79" s="983"/>
      <c r="C79" s="971"/>
      <c r="D79" s="984">
        <f>SUM(D80,D81,D82,D84,D85,D88,D89,D90)</f>
        <v>12815</v>
      </c>
      <c r="E79" s="984">
        <f>SUM(E80,E81,E82,E84,E85,E88,E89,E90)</f>
        <v>6229.24</v>
      </c>
      <c r="F79" s="985">
        <f>F80+F82+F84+F85+F88+F89+F90</f>
        <v>12715</v>
      </c>
      <c r="G79" s="985">
        <f>G80+G82+G84+G85+G88+G89+G90</f>
        <v>12471</v>
      </c>
      <c r="H79" s="985">
        <f>H80+H82+H84+H85+H88+H89+H90</f>
        <v>0</v>
      </c>
      <c r="I79" s="864"/>
    </row>
    <row r="80" spans="1:14" s="55" customFormat="1" ht="12.75">
      <c r="A80" s="100">
        <v>610</v>
      </c>
      <c r="B80" s="101"/>
      <c r="C80" s="986" t="s">
        <v>538</v>
      </c>
      <c r="D80" s="229">
        <v>4310</v>
      </c>
      <c r="E80" s="229">
        <v>2085.32</v>
      </c>
      <c r="F80" s="284">
        <v>9000</v>
      </c>
      <c r="G80" s="229">
        <v>9006</v>
      </c>
      <c r="H80" s="229">
        <v>0</v>
      </c>
      <c r="I80" s="876"/>
      <c r="J80" s="976"/>
      <c r="K80" s="876"/>
      <c r="L80" s="876"/>
      <c r="M80" s="876"/>
      <c r="N80" s="867"/>
    </row>
    <row r="81" spans="1:13" s="58" customFormat="1" ht="12.75">
      <c r="A81" s="883">
        <v>610</v>
      </c>
      <c r="B81" s="931"/>
      <c r="C81" s="891" t="s">
        <v>606</v>
      </c>
      <c r="D81" s="987">
        <v>4690</v>
      </c>
      <c r="E81" s="987">
        <v>2282.42</v>
      </c>
      <c r="F81" s="915">
        <v>4680</v>
      </c>
      <c r="G81" s="953">
        <v>3806</v>
      </c>
      <c r="H81" s="953">
        <v>0</v>
      </c>
      <c r="I81" s="957"/>
      <c r="K81" s="160"/>
      <c r="L81" s="152"/>
      <c r="M81" s="152"/>
    </row>
    <row r="82" spans="1:13" ht="12.75">
      <c r="A82" s="100">
        <v>620</v>
      </c>
      <c r="B82" s="101"/>
      <c r="C82" s="89" t="s">
        <v>242</v>
      </c>
      <c r="D82" s="229">
        <v>3200</v>
      </c>
      <c r="E82" s="229">
        <v>1609.34</v>
      </c>
      <c r="F82" s="284">
        <v>3200</v>
      </c>
      <c r="G82" s="229">
        <v>3100</v>
      </c>
      <c r="H82" s="229">
        <v>0</v>
      </c>
      <c r="I82" s="956"/>
      <c r="K82" s="935"/>
      <c r="L82" s="867"/>
      <c r="M82" s="934"/>
    </row>
    <row r="83" spans="1:13" ht="12.75">
      <c r="A83" s="883">
        <v>620</v>
      </c>
      <c r="B83" s="931"/>
      <c r="C83" s="913" t="s">
        <v>607</v>
      </c>
      <c r="D83" s="953">
        <v>0</v>
      </c>
      <c r="E83" s="953">
        <v>0</v>
      </c>
      <c r="F83" s="915">
        <v>0</v>
      </c>
      <c r="G83" s="953">
        <v>0</v>
      </c>
      <c r="H83" s="953">
        <v>0</v>
      </c>
      <c r="I83" s="190"/>
      <c r="K83" s="160"/>
      <c r="L83" s="152"/>
      <c r="M83" s="152"/>
    </row>
    <row r="84" spans="1:14" ht="12.75">
      <c r="A84" s="88">
        <v>632</v>
      </c>
      <c r="B84" s="101"/>
      <c r="C84" s="89" t="s">
        <v>246</v>
      </c>
      <c r="D84" s="229">
        <v>15</v>
      </c>
      <c r="E84" s="229">
        <v>3.7</v>
      </c>
      <c r="F84" s="284">
        <v>15</v>
      </c>
      <c r="G84" s="229">
        <v>15</v>
      </c>
      <c r="H84" s="229">
        <v>0</v>
      </c>
      <c r="I84" s="956"/>
      <c r="K84" s="935"/>
      <c r="L84" s="867"/>
      <c r="M84" s="934"/>
      <c r="N84" s="934"/>
    </row>
    <row r="85" spans="1:13" ht="12.75">
      <c r="A85" s="88">
        <v>633</v>
      </c>
      <c r="B85" s="101"/>
      <c r="C85" s="89" t="s">
        <v>248</v>
      </c>
      <c r="D85" s="229">
        <v>400</v>
      </c>
      <c r="E85" s="229">
        <f>SUM(E86,E87)</f>
        <v>178.86</v>
      </c>
      <c r="F85" s="284">
        <v>400</v>
      </c>
      <c r="G85" s="229">
        <v>250</v>
      </c>
      <c r="H85" s="229">
        <v>0</v>
      </c>
      <c r="I85" s="190"/>
      <c r="K85" s="152"/>
      <c r="L85" s="152"/>
      <c r="M85" s="152"/>
    </row>
    <row r="86" spans="1:13" ht="12.75">
      <c r="A86" s="88">
        <v>633</v>
      </c>
      <c r="B86" s="101" t="s">
        <v>150</v>
      </c>
      <c r="C86" s="89" t="s">
        <v>413</v>
      </c>
      <c r="D86" s="119">
        <v>300</v>
      </c>
      <c r="E86" s="119">
        <v>79.28</v>
      </c>
      <c r="F86" s="951">
        <v>300</v>
      </c>
      <c r="G86" s="119">
        <v>150</v>
      </c>
      <c r="H86" s="119">
        <v>0</v>
      </c>
      <c r="I86" s="190"/>
      <c r="J86" s="152"/>
      <c r="K86" s="152"/>
      <c r="L86" s="152"/>
      <c r="M86" s="152"/>
    </row>
    <row r="87" spans="1:13" ht="12.75">
      <c r="A87" s="912">
        <v>633</v>
      </c>
      <c r="B87" s="931"/>
      <c r="C87" s="913" t="s">
        <v>608</v>
      </c>
      <c r="D87" s="953">
        <v>100</v>
      </c>
      <c r="E87" s="953">
        <v>99.58</v>
      </c>
      <c r="F87" s="915">
        <v>100</v>
      </c>
      <c r="G87" s="953">
        <v>100</v>
      </c>
      <c r="H87" s="953">
        <v>0</v>
      </c>
      <c r="I87" s="969"/>
      <c r="K87" s="152"/>
      <c r="L87" s="152"/>
      <c r="M87" s="152"/>
    </row>
    <row r="88" spans="1:13" ht="12.75">
      <c r="A88" s="88">
        <v>635</v>
      </c>
      <c r="B88" s="101"/>
      <c r="C88" s="89" t="s">
        <v>351</v>
      </c>
      <c r="D88" s="229">
        <v>0</v>
      </c>
      <c r="E88" s="229">
        <v>0</v>
      </c>
      <c r="F88" s="284">
        <v>0</v>
      </c>
      <c r="G88" s="229">
        <v>0</v>
      </c>
      <c r="H88" s="229">
        <v>0</v>
      </c>
      <c r="I88" s="988"/>
      <c r="K88" s="152"/>
      <c r="L88" s="867"/>
      <c r="M88" s="152"/>
    </row>
    <row r="89" spans="1:13" ht="12.75">
      <c r="A89" s="178">
        <v>637</v>
      </c>
      <c r="B89" s="180"/>
      <c r="C89" s="143" t="s">
        <v>256</v>
      </c>
      <c r="D89" s="229">
        <v>200</v>
      </c>
      <c r="E89" s="229">
        <v>69.6</v>
      </c>
      <c r="F89" s="284">
        <v>100</v>
      </c>
      <c r="G89" s="229">
        <v>100</v>
      </c>
      <c r="H89" s="229">
        <v>0</v>
      </c>
      <c r="I89" s="190"/>
      <c r="K89" s="152"/>
      <c r="L89" s="152"/>
      <c r="M89" s="152"/>
    </row>
    <row r="90" spans="1:13" ht="12.75">
      <c r="A90" s="88">
        <v>637</v>
      </c>
      <c r="B90" s="89" t="s">
        <v>114</v>
      </c>
      <c r="C90" s="89" t="s">
        <v>609</v>
      </c>
      <c r="D90" s="229">
        <v>0</v>
      </c>
      <c r="E90" s="229">
        <v>0</v>
      </c>
      <c r="F90" s="284">
        <v>0</v>
      </c>
      <c r="G90" s="229">
        <v>0</v>
      </c>
      <c r="H90" s="229">
        <v>0</v>
      </c>
      <c r="I90" s="190"/>
      <c r="K90" s="152"/>
      <c r="L90" s="152"/>
      <c r="M90" s="152"/>
    </row>
    <row r="91" spans="1:13" ht="12.75">
      <c r="A91" s="989" t="s">
        <v>610</v>
      </c>
      <c r="B91" s="990"/>
      <c r="C91" s="991" t="s">
        <v>611</v>
      </c>
      <c r="D91" s="992">
        <f>SUM(D7,D71,D79)</f>
        <v>193165</v>
      </c>
      <c r="E91" s="992">
        <f>SUM(E7,E71,E79)</f>
        <v>96154.81</v>
      </c>
      <c r="F91" s="992">
        <f>F7+F71+F79</f>
        <v>188665</v>
      </c>
      <c r="G91" s="992">
        <f>G7+G71+G79</f>
        <v>196389</v>
      </c>
      <c r="H91" s="992">
        <f>H7+H71+H79</f>
        <v>0</v>
      </c>
      <c r="I91" s="969"/>
      <c r="K91" s="152"/>
      <c r="L91" s="152"/>
      <c r="M91" s="152"/>
    </row>
    <row r="92" spans="1:14" ht="12.75">
      <c r="A92" s="152"/>
      <c r="B92" s="152"/>
      <c r="C92" s="152"/>
      <c r="D92" s="152"/>
      <c r="E92" s="993"/>
      <c r="F92" s="993"/>
      <c r="G92" s="993"/>
      <c r="H92" s="109"/>
      <c r="I92" s="191"/>
      <c r="J92" s="96"/>
      <c r="K92" s="191"/>
      <c r="L92" s="191"/>
      <c r="M92" s="191"/>
      <c r="N92" s="994"/>
    </row>
    <row r="93" spans="1:14" s="58" customFormat="1" ht="12.75" hidden="1">
      <c r="A93" s="152"/>
      <c r="B93" s="152"/>
      <c r="C93" s="152"/>
      <c r="D93" s="152"/>
      <c r="E93" s="993"/>
      <c r="F93" s="993"/>
      <c r="G93" s="993"/>
      <c r="H93" s="109"/>
      <c r="N93" s="54"/>
    </row>
    <row r="94" spans="1:14" s="58" customFormat="1" ht="12.75">
      <c r="A94" s="152"/>
      <c r="B94" s="152"/>
      <c r="C94" s="152"/>
      <c r="D94" s="152"/>
      <c r="E94" s="993"/>
      <c r="F94" s="993"/>
      <c r="G94" s="993"/>
      <c r="H94" s="109"/>
      <c r="N94" s="54"/>
    </row>
    <row r="95" spans="1:14" s="58" customFormat="1" ht="12.75" hidden="1">
      <c r="A95" s="152"/>
      <c r="B95" s="152"/>
      <c r="C95" s="152"/>
      <c r="D95" s="152"/>
      <c r="E95" s="993"/>
      <c r="F95" s="993"/>
      <c r="G95" s="993"/>
      <c r="H95" s="109"/>
      <c r="N95" s="54"/>
    </row>
    <row r="96" spans="1:14" s="58" customFormat="1" ht="12.75" hidden="1">
      <c r="A96" s="152"/>
      <c r="B96" s="152"/>
      <c r="C96" s="152"/>
      <c r="D96" s="152"/>
      <c r="E96" s="993"/>
      <c r="F96" s="993"/>
      <c r="G96" s="993"/>
      <c r="H96" s="109"/>
      <c r="N96" s="54"/>
    </row>
    <row r="97" spans="1:14" s="58" customFormat="1" ht="12.75" hidden="1">
      <c r="A97" s="152"/>
      <c r="B97" s="152"/>
      <c r="C97" s="152"/>
      <c r="D97" s="152"/>
      <c r="E97" s="993"/>
      <c r="F97" s="993"/>
      <c r="G97" s="1249" t="s">
        <v>612</v>
      </c>
      <c r="H97" s="1249"/>
      <c r="N97" s="54"/>
    </row>
    <row r="98" spans="1:14" s="58" customFormat="1" ht="12.75">
      <c r="A98" s="152"/>
      <c r="B98" s="152"/>
      <c r="C98" s="152"/>
      <c r="D98" s="152"/>
      <c r="E98" s="993"/>
      <c r="F98" s="993"/>
      <c r="G98" s="993"/>
      <c r="H98" s="109"/>
      <c r="I98" s="272"/>
      <c r="K98" s="272"/>
      <c r="L98" s="272"/>
      <c r="M98" s="272"/>
      <c r="N98" s="54"/>
    </row>
    <row r="99" spans="1:14" s="58" customFormat="1" ht="12.75">
      <c r="A99" s="858" t="s">
        <v>498</v>
      </c>
      <c r="B99" s="859"/>
      <c r="C99" s="995"/>
      <c r="D99" s="246">
        <v>2014</v>
      </c>
      <c r="E99" s="861" t="s">
        <v>108</v>
      </c>
      <c r="F99" s="862" t="s">
        <v>109</v>
      </c>
      <c r="G99" s="981" t="s">
        <v>110</v>
      </c>
      <c r="H99" s="862"/>
      <c r="N99" s="54"/>
    </row>
    <row r="100" spans="1:14" s="868" customFormat="1" ht="12.75">
      <c r="A100" s="869" t="s">
        <v>613</v>
      </c>
      <c r="B100" s="971"/>
      <c r="C100" s="971"/>
      <c r="D100" s="996">
        <f>SUM(D101,D102,D103)</f>
        <v>1100</v>
      </c>
      <c r="E100" s="996">
        <f>SUM(E101,E102,E103)</f>
        <v>296.83</v>
      </c>
      <c r="F100" s="996">
        <f>SUM(F101,F102,F103)</f>
        <v>1000</v>
      </c>
      <c r="G100" s="996">
        <f>SUM(G101:G103)</f>
        <v>1042</v>
      </c>
      <c r="H100" s="996">
        <f>SUM(H101,H103)</f>
        <v>0</v>
      </c>
      <c r="I100" s="997"/>
      <c r="J100" s="998"/>
      <c r="K100" s="999"/>
      <c r="L100" s="865"/>
      <c r="M100" s="866"/>
      <c r="N100" s="1000"/>
    </row>
    <row r="101" spans="1:14" s="282" customFormat="1" ht="12.75">
      <c r="A101" s="88">
        <v>632</v>
      </c>
      <c r="B101" s="101" t="s">
        <v>112</v>
      </c>
      <c r="C101" s="89" t="s">
        <v>614</v>
      </c>
      <c r="D101" s="229">
        <v>250</v>
      </c>
      <c r="E101" s="229">
        <v>56.83</v>
      </c>
      <c r="F101" s="284">
        <v>200</v>
      </c>
      <c r="G101" s="229">
        <v>200</v>
      </c>
      <c r="H101" s="229">
        <v>0</v>
      </c>
      <c r="I101" s="1001"/>
      <c r="J101" s="1002"/>
      <c r="K101" s="1003"/>
      <c r="L101" s="1003"/>
      <c r="M101" s="1003"/>
      <c r="N101" s="1004"/>
    </row>
    <row r="102" spans="1:14" s="282" customFormat="1" ht="12.75">
      <c r="A102" s="88">
        <v>637</v>
      </c>
      <c r="B102" s="101" t="s">
        <v>133</v>
      </c>
      <c r="C102" s="89" t="s">
        <v>256</v>
      </c>
      <c r="D102" s="229">
        <v>600</v>
      </c>
      <c r="E102" s="229">
        <v>240</v>
      </c>
      <c r="F102" s="284">
        <v>600</v>
      </c>
      <c r="G102" s="229">
        <v>600</v>
      </c>
      <c r="H102" s="229"/>
      <c r="I102" s="1001"/>
      <c r="J102" s="1002"/>
      <c r="K102" s="1003"/>
      <c r="L102" s="1003"/>
      <c r="M102" s="1003"/>
      <c r="N102" s="1004"/>
    </row>
    <row r="103" spans="1:14" s="58" customFormat="1" ht="12.75">
      <c r="A103" s="88">
        <v>637</v>
      </c>
      <c r="B103" s="101" t="s">
        <v>602</v>
      </c>
      <c r="C103" s="89" t="s">
        <v>310</v>
      </c>
      <c r="D103" s="1005">
        <v>250</v>
      </c>
      <c r="E103" s="1005">
        <v>0</v>
      </c>
      <c r="F103" s="1006">
        <v>200</v>
      </c>
      <c r="G103" s="1005">
        <v>242</v>
      </c>
      <c r="H103" s="1005">
        <v>0</v>
      </c>
      <c r="I103" s="1007"/>
      <c r="J103" s="152"/>
      <c r="K103" s="152"/>
      <c r="L103" s="152"/>
      <c r="M103" s="152"/>
      <c r="N103" s="54"/>
    </row>
    <row r="104" spans="1:14" ht="12.75">
      <c r="A104" s="989" t="s">
        <v>615</v>
      </c>
      <c r="B104" s="990"/>
      <c r="C104" s="991" t="s">
        <v>307</v>
      </c>
      <c r="D104" s="1008">
        <f>SUM(D101,D102,D103)</f>
        <v>1100</v>
      </c>
      <c r="E104" s="1008">
        <f>SUM(E101,E102,E103)</f>
        <v>296.83</v>
      </c>
      <c r="F104" s="1008">
        <f>SUM(F101,F102,F103)</f>
        <v>1000</v>
      </c>
      <c r="G104" s="1008">
        <f>G100</f>
        <v>1042</v>
      </c>
      <c r="H104" s="1008">
        <f>SUM(H101,H103)</f>
        <v>0</v>
      </c>
      <c r="I104" s="168"/>
      <c r="J104" s="152"/>
      <c r="K104" s="152"/>
      <c r="L104" s="152"/>
      <c r="M104" s="152"/>
      <c r="N104" s="123"/>
    </row>
    <row r="105" spans="1:13" ht="12.75">
      <c r="A105" s="1009"/>
      <c r="B105" s="152"/>
      <c r="C105" s="282"/>
      <c r="D105" s="282"/>
      <c r="E105" s="1010"/>
      <c r="F105" s="1010"/>
      <c r="G105" s="1010"/>
      <c r="H105" s="1011"/>
      <c r="I105" s="191"/>
      <c r="J105" s="1002"/>
      <c r="K105" s="976"/>
      <c r="L105" s="976"/>
      <c r="M105" s="976"/>
    </row>
    <row r="106" spans="1:9" ht="12.75">
      <c r="A106" s="1009"/>
      <c r="B106" s="152"/>
      <c r="C106" s="282"/>
      <c r="D106" s="282"/>
      <c r="E106" s="1010"/>
      <c r="F106" s="1010"/>
      <c r="G106" s="1010"/>
      <c r="H106" s="1011"/>
      <c r="I106" s="287"/>
    </row>
    <row r="107" spans="1:9" ht="12.75">
      <c r="A107" s="1009"/>
      <c r="B107" s="152"/>
      <c r="C107" s="282"/>
      <c r="D107" s="282"/>
      <c r="E107" s="1010"/>
      <c r="F107" s="1010"/>
      <c r="G107" s="1249" t="s">
        <v>616</v>
      </c>
      <c r="H107" s="1249"/>
      <c r="I107" s="287"/>
    </row>
    <row r="108" spans="1:13" ht="12.75">
      <c r="A108" s="1009"/>
      <c r="B108" s="152"/>
      <c r="C108" s="282"/>
      <c r="D108" s="282"/>
      <c r="E108" s="1010"/>
      <c r="F108" s="1010"/>
      <c r="G108" s="1010"/>
      <c r="H108" s="1011"/>
      <c r="I108" s="272"/>
      <c r="K108" s="272"/>
      <c r="L108" s="272"/>
      <c r="M108" s="272"/>
    </row>
    <row r="109" spans="1:13" ht="12.75">
      <c r="A109" s="858" t="s">
        <v>498</v>
      </c>
      <c r="B109" s="859"/>
      <c r="C109" s="995"/>
      <c r="D109" s="246">
        <v>2014</v>
      </c>
      <c r="E109" s="861" t="s">
        <v>108</v>
      </c>
      <c r="F109" s="862" t="s">
        <v>109</v>
      </c>
      <c r="G109" s="981" t="s">
        <v>110</v>
      </c>
      <c r="H109" s="862"/>
      <c r="I109" s="287"/>
      <c r="K109" s="1012"/>
      <c r="L109" s="1012"/>
      <c r="M109" s="1012"/>
    </row>
    <row r="110" spans="1:13" s="1000" customFormat="1" ht="12.75">
      <c r="A110" s="869" t="s">
        <v>617</v>
      </c>
      <c r="B110" s="983"/>
      <c r="C110" s="971"/>
      <c r="D110" s="972">
        <f>D111+D112+D113+D114+D115+D121+D125+D126+D127+D128</f>
        <v>53630</v>
      </c>
      <c r="E110" s="972">
        <f>E111+E112+E113+E114+E115+E121+E125+E126+E127</f>
        <v>27327.009999999995</v>
      </c>
      <c r="F110" s="972">
        <f>F111+F112+F113+F114+F115+F121+F125+F126+F127</f>
        <v>53580</v>
      </c>
      <c r="G110" s="972">
        <f>G111+G112+G113+G114+G115+G121+G125+G126+G127+G128</f>
        <v>63681</v>
      </c>
      <c r="H110" s="972">
        <f>H111+H112+H113+H114+H115+H121+H125+H126+H127</f>
        <v>0</v>
      </c>
      <c r="I110" s="997"/>
      <c r="J110" s="998"/>
      <c r="K110" s="999"/>
      <c r="L110" s="865"/>
      <c r="M110" s="866"/>
    </row>
    <row r="111" spans="1:13" s="55" customFormat="1" ht="12.75">
      <c r="A111" s="100">
        <v>610</v>
      </c>
      <c r="B111" s="101"/>
      <c r="C111" s="986" t="s">
        <v>538</v>
      </c>
      <c r="D111" s="229">
        <v>32500</v>
      </c>
      <c r="E111" s="229">
        <v>16161.19</v>
      </c>
      <c r="F111" s="284">
        <v>32500</v>
      </c>
      <c r="G111" s="229">
        <v>33100</v>
      </c>
      <c r="H111" s="229">
        <v>0</v>
      </c>
      <c r="I111" s="1013"/>
      <c r="J111" s="976"/>
      <c r="K111" s="876"/>
      <c r="L111" s="876"/>
      <c r="M111" s="876"/>
    </row>
    <row r="112" spans="1:14" s="58" customFormat="1" ht="12.75">
      <c r="A112" s="100">
        <v>620</v>
      </c>
      <c r="B112" s="101"/>
      <c r="C112" s="89" t="s">
        <v>242</v>
      </c>
      <c r="D112" s="229">
        <v>12000</v>
      </c>
      <c r="E112" s="229">
        <v>6009.63</v>
      </c>
      <c r="F112" s="284">
        <v>12000</v>
      </c>
      <c r="G112" s="229">
        <v>12100</v>
      </c>
      <c r="H112" s="229">
        <v>0</v>
      </c>
      <c r="I112" s="190"/>
      <c r="K112" s="160"/>
      <c r="L112" s="152"/>
      <c r="M112" s="152"/>
      <c r="N112" s="54"/>
    </row>
    <row r="113" spans="1:13" ht="12.75">
      <c r="A113" s="100">
        <v>631</v>
      </c>
      <c r="B113" s="101"/>
      <c r="C113" s="89" t="s">
        <v>618</v>
      </c>
      <c r="D113" s="229">
        <v>60</v>
      </c>
      <c r="E113" s="229">
        <v>0</v>
      </c>
      <c r="F113" s="284">
        <v>60</v>
      </c>
      <c r="G113" s="229">
        <v>60</v>
      </c>
      <c r="H113" s="229">
        <v>0</v>
      </c>
      <c r="I113" s="190"/>
      <c r="K113" s="160"/>
      <c r="L113" s="152"/>
      <c r="M113" s="152"/>
    </row>
    <row r="114" spans="1:13" ht="12.75">
      <c r="A114" s="100">
        <v>632</v>
      </c>
      <c r="B114" s="101"/>
      <c r="C114" s="89" t="s">
        <v>246</v>
      </c>
      <c r="D114" s="229">
        <v>1500</v>
      </c>
      <c r="E114" s="229">
        <v>788.94</v>
      </c>
      <c r="F114" s="284">
        <v>1500</v>
      </c>
      <c r="G114" s="229">
        <v>1900</v>
      </c>
      <c r="H114" s="229">
        <v>0</v>
      </c>
      <c r="I114" s="190"/>
      <c r="K114" s="160"/>
      <c r="L114" s="152"/>
      <c r="M114" s="152"/>
    </row>
    <row r="115" spans="1:13" ht="12.75">
      <c r="A115" s="100">
        <v>633</v>
      </c>
      <c r="B115" s="101"/>
      <c r="C115" s="89" t="s">
        <v>248</v>
      </c>
      <c r="D115" s="117">
        <f>D118+D119+D120+D117</f>
        <v>1150</v>
      </c>
      <c r="E115" s="117">
        <f>E118+E119+E120+E117</f>
        <v>2215.05</v>
      </c>
      <c r="F115" s="121">
        <f>F118+F119+F120+F117</f>
        <v>2350</v>
      </c>
      <c r="G115" s="117">
        <f>SUM(G116:G120)</f>
        <v>5380</v>
      </c>
      <c r="H115" s="117">
        <f>H118+H119+H120+H117</f>
        <v>0</v>
      </c>
      <c r="I115" s="190"/>
      <c r="K115" s="160"/>
      <c r="L115" s="152"/>
      <c r="M115" s="152"/>
    </row>
    <row r="116" spans="1:13" ht="12.75">
      <c r="A116" s="100">
        <v>633</v>
      </c>
      <c r="B116" s="101" t="s">
        <v>114</v>
      </c>
      <c r="C116" s="89" t="s">
        <v>619</v>
      </c>
      <c r="D116" s="117"/>
      <c r="E116" s="117"/>
      <c r="F116" s="121"/>
      <c r="G116" s="119">
        <v>2100</v>
      </c>
      <c r="H116" s="117"/>
      <c r="I116" s="190"/>
      <c r="K116" s="160"/>
      <c r="L116" s="152"/>
      <c r="M116" s="152"/>
    </row>
    <row r="117" spans="1:13" ht="12.75">
      <c r="A117" s="100">
        <v>633</v>
      </c>
      <c r="B117" s="101" t="s">
        <v>117</v>
      </c>
      <c r="C117" s="89" t="s">
        <v>620</v>
      </c>
      <c r="D117" s="119">
        <v>100</v>
      </c>
      <c r="E117" s="119">
        <v>66</v>
      </c>
      <c r="F117" s="951">
        <v>100</v>
      </c>
      <c r="G117" s="119">
        <v>140</v>
      </c>
      <c r="H117" s="119">
        <v>0</v>
      </c>
      <c r="I117" s="190"/>
      <c r="J117" s="190"/>
      <c r="K117" s="190"/>
      <c r="L117" s="190"/>
      <c r="M117" s="190"/>
    </row>
    <row r="118" spans="1:13" ht="12.75">
      <c r="A118" s="100">
        <v>633</v>
      </c>
      <c r="B118" s="101" t="s">
        <v>150</v>
      </c>
      <c r="C118" s="89" t="s">
        <v>413</v>
      </c>
      <c r="D118" s="119">
        <v>500</v>
      </c>
      <c r="E118" s="119">
        <v>481.11</v>
      </c>
      <c r="F118" s="951">
        <v>500</v>
      </c>
      <c r="G118" s="119">
        <v>1300</v>
      </c>
      <c r="H118" s="119">
        <v>0</v>
      </c>
      <c r="I118" s="190"/>
      <c r="J118" s="190"/>
      <c r="K118" s="190"/>
      <c r="L118" s="190"/>
      <c r="M118" s="190"/>
    </row>
    <row r="119" spans="1:13" ht="12.75">
      <c r="A119" s="100">
        <v>633</v>
      </c>
      <c r="B119" s="101" t="s">
        <v>551</v>
      </c>
      <c r="C119" s="89" t="s">
        <v>621</v>
      </c>
      <c r="D119" s="119">
        <v>50</v>
      </c>
      <c r="E119" s="119">
        <v>35.4</v>
      </c>
      <c r="F119" s="951">
        <v>50</v>
      </c>
      <c r="G119" s="119">
        <v>40</v>
      </c>
      <c r="H119" s="119">
        <v>0</v>
      </c>
      <c r="I119" s="969"/>
      <c r="K119" s="1014"/>
      <c r="L119" s="1014"/>
      <c r="M119" s="1014"/>
    </row>
    <row r="120" spans="1:13" ht="12.75">
      <c r="A120" s="100">
        <v>633</v>
      </c>
      <c r="B120" s="101" t="s">
        <v>553</v>
      </c>
      <c r="C120" s="89" t="s">
        <v>622</v>
      </c>
      <c r="D120" s="119">
        <v>500</v>
      </c>
      <c r="E120" s="119">
        <v>1632.54</v>
      </c>
      <c r="F120" s="951">
        <v>1700</v>
      </c>
      <c r="G120" s="119">
        <v>1800</v>
      </c>
      <c r="H120" s="119">
        <v>0</v>
      </c>
      <c r="I120" s="969"/>
      <c r="K120" s="1014"/>
      <c r="L120" s="1014"/>
      <c r="M120" s="1014"/>
    </row>
    <row r="121" spans="1:13" ht="12.75">
      <c r="A121" s="100">
        <v>634</v>
      </c>
      <c r="B121" s="101"/>
      <c r="C121" s="89" t="s">
        <v>250</v>
      </c>
      <c r="D121" s="229">
        <f>SUM(D122,D123,D124)</f>
        <v>5500</v>
      </c>
      <c r="E121" s="229">
        <f>SUM(E122,E123,E124)</f>
        <v>1883.6</v>
      </c>
      <c r="F121" s="284">
        <f>SUM(F122,F123,F124)</f>
        <v>4600</v>
      </c>
      <c r="G121" s="229">
        <f>SUM(G122:G124)</f>
        <v>4800</v>
      </c>
      <c r="H121" s="229">
        <f>SUM(H122,H123,H124)</f>
        <v>0</v>
      </c>
      <c r="I121" s="969"/>
      <c r="K121" s="1014"/>
      <c r="L121" s="1014"/>
      <c r="M121" s="152"/>
    </row>
    <row r="122" spans="1:13" ht="12.75">
      <c r="A122" s="100">
        <v>634</v>
      </c>
      <c r="B122" s="101" t="s">
        <v>114</v>
      </c>
      <c r="C122" s="89" t="s">
        <v>623</v>
      </c>
      <c r="D122" s="119">
        <v>4000</v>
      </c>
      <c r="E122" s="119">
        <v>1662.19</v>
      </c>
      <c r="F122" s="951">
        <v>3500</v>
      </c>
      <c r="G122" s="119">
        <v>3200</v>
      </c>
      <c r="H122" s="119">
        <v>0</v>
      </c>
      <c r="I122" s="190"/>
      <c r="K122" s="152"/>
      <c r="L122" s="152"/>
      <c r="M122" s="152"/>
    </row>
    <row r="123" spans="1:14" ht="12.75">
      <c r="A123" s="100">
        <v>634</v>
      </c>
      <c r="B123" s="101" t="s">
        <v>117</v>
      </c>
      <c r="C123" s="89" t="s">
        <v>624</v>
      </c>
      <c r="D123" s="119">
        <v>1200</v>
      </c>
      <c r="E123" s="119">
        <v>12.85</v>
      </c>
      <c r="F123" s="951">
        <v>800</v>
      </c>
      <c r="G123" s="119">
        <v>1300</v>
      </c>
      <c r="H123" s="119">
        <v>0</v>
      </c>
      <c r="I123" s="969"/>
      <c r="K123" s="969"/>
      <c r="L123" s="1014"/>
      <c r="M123" s="1014"/>
      <c r="N123" s="87"/>
    </row>
    <row r="124" spans="1:13" ht="12.75">
      <c r="A124" s="100">
        <v>634</v>
      </c>
      <c r="B124" s="101" t="s">
        <v>112</v>
      </c>
      <c r="C124" s="89" t="s">
        <v>625</v>
      </c>
      <c r="D124" s="119">
        <v>300</v>
      </c>
      <c r="E124" s="119">
        <v>208.56</v>
      </c>
      <c r="F124" s="951">
        <v>300</v>
      </c>
      <c r="G124" s="119">
        <v>300</v>
      </c>
      <c r="H124" s="119">
        <v>0</v>
      </c>
      <c r="I124" s="969"/>
      <c r="K124" s="1014"/>
      <c r="L124" s="1014"/>
      <c r="M124" s="1014"/>
    </row>
    <row r="125" spans="1:14" ht="12.75">
      <c r="A125" s="100">
        <v>635</v>
      </c>
      <c r="B125" s="101"/>
      <c r="C125" s="89" t="s">
        <v>626</v>
      </c>
      <c r="D125" s="229">
        <v>500</v>
      </c>
      <c r="E125" s="229">
        <v>0</v>
      </c>
      <c r="F125" s="284">
        <v>200</v>
      </c>
      <c r="G125" s="229">
        <v>1600</v>
      </c>
      <c r="H125" s="229">
        <v>0</v>
      </c>
      <c r="I125" s="969"/>
      <c r="K125" s="1014"/>
      <c r="L125" s="1014"/>
      <c r="M125" s="1014"/>
      <c r="N125" s="123"/>
    </row>
    <row r="126" spans="1:14" ht="12.75">
      <c r="A126" s="100">
        <v>637</v>
      </c>
      <c r="B126" s="101"/>
      <c r="C126" s="89" t="s">
        <v>627</v>
      </c>
      <c r="D126" s="229">
        <v>350</v>
      </c>
      <c r="E126" s="229">
        <v>268.6</v>
      </c>
      <c r="F126" s="284">
        <v>300</v>
      </c>
      <c r="G126" s="229">
        <v>3500</v>
      </c>
      <c r="H126" s="229">
        <v>0</v>
      </c>
      <c r="I126" s="969"/>
      <c r="K126" s="1014"/>
      <c r="L126" s="1014"/>
      <c r="M126" s="1014"/>
      <c r="N126" s="123"/>
    </row>
    <row r="127" spans="1:14" ht="12.75">
      <c r="A127" s="100">
        <v>642</v>
      </c>
      <c r="B127" s="101"/>
      <c r="C127" s="89" t="s">
        <v>628</v>
      </c>
      <c r="D127" s="229">
        <v>70</v>
      </c>
      <c r="E127" s="229">
        <v>0</v>
      </c>
      <c r="F127" s="284">
        <v>70</v>
      </c>
      <c r="G127" s="229">
        <v>66</v>
      </c>
      <c r="H127" s="229">
        <v>0</v>
      </c>
      <c r="I127" s="190"/>
      <c r="K127" s="152"/>
      <c r="L127" s="152"/>
      <c r="M127" s="152"/>
      <c r="N127" s="123"/>
    </row>
    <row r="128" spans="1:13" ht="12.75">
      <c r="A128" s="100">
        <v>637</v>
      </c>
      <c r="B128" s="101" t="s">
        <v>593</v>
      </c>
      <c r="C128" s="89" t="s">
        <v>629</v>
      </c>
      <c r="D128" s="229">
        <v>0</v>
      </c>
      <c r="E128" s="229">
        <v>0</v>
      </c>
      <c r="F128" s="284">
        <v>0</v>
      </c>
      <c r="G128" s="229">
        <v>1175</v>
      </c>
      <c r="H128" s="229">
        <v>0</v>
      </c>
      <c r="I128" s="190"/>
      <c r="K128" s="152"/>
      <c r="L128" s="152"/>
      <c r="M128" s="152"/>
    </row>
    <row r="129" spans="1:14" ht="12.75">
      <c r="A129" s="1015"/>
      <c r="B129" s="58"/>
      <c r="C129" s="58"/>
      <c r="D129" s="58"/>
      <c r="F129" s="216"/>
      <c r="G129" s="216"/>
      <c r="H129" s="216"/>
      <c r="I129" s="190"/>
      <c r="K129" s="152"/>
      <c r="L129" s="152"/>
      <c r="M129" s="152"/>
      <c r="N129" s="1016"/>
    </row>
    <row r="130" spans="1:8" ht="12.75">
      <c r="A130" s="869" t="s">
        <v>630</v>
      </c>
      <c r="B130" s="971"/>
      <c r="C130" s="971"/>
      <c r="D130" s="972">
        <f>SUM(D131,D132,D138,D142,D143,D144)</f>
        <v>4050</v>
      </c>
      <c r="E130" s="972">
        <f>SUM(E131,E132,E138,E142,E143,E144,E145)</f>
        <v>5056.7</v>
      </c>
      <c r="F130" s="972">
        <f>SUM(F131,F132,F138,F142,F143,F144,F145)</f>
        <v>12750</v>
      </c>
      <c r="G130" s="972">
        <f>G131+G132+G138+G142+G144+G145</f>
        <v>13870</v>
      </c>
      <c r="H130" s="972">
        <f>SUM(H131,H132,H138,H142,H143,H144)</f>
        <v>0</v>
      </c>
    </row>
    <row r="131" spans="1:13" s="55" customFormat="1" ht="12.75">
      <c r="A131" s="88">
        <v>632</v>
      </c>
      <c r="B131" s="101"/>
      <c r="C131" s="89" t="s">
        <v>246</v>
      </c>
      <c r="D131" s="229">
        <v>2300</v>
      </c>
      <c r="E131" s="229">
        <v>1689.8</v>
      </c>
      <c r="F131" s="284">
        <v>2000</v>
      </c>
      <c r="G131" s="229">
        <v>3100</v>
      </c>
      <c r="H131" s="229">
        <v>0</v>
      </c>
      <c r="I131" s="876"/>
      <c r="J131" s="976"/>
      <c r="K131" s="876"/>
      <c r="L131" s="876"/>
      <c r="M131" s="876"/>
    </row>
    <row r="132" spans="1:14" s="58" customFormat="1" ht="12.75">
      <c r="A132" s="88">
        <v>633</v>
      </c>
      <c r="B132" s="101"/>
      <c r="C132" s="89" t="s">
        <v>248</v>
      </c>
      <c r="D132" s="229">
        <f>D133+D134+D135+D136+D137</f>
        <v>500</v>
      </c>
      <c r="E132" s="229">
        <f>SUM(E133,E134,E135,E136,E137)</f>
        <v>0</v>
      </c>
      <c r="F132" s="284">
        <f>SUM(F133,F134,F135,F136,F137)</f>
        <v>0</v>
      </c>
      <c r="G132" s="229">
        <f>G133+G134+G135+G136+G137</f>
        <v>50</v>
      </c>
      <c r="H132" s="229">
        <f>H133+H134+H135+H136+H137</f>
        <v>0</v>
      </c>
      <c r="I132" s="190"/>
      <c r="K132" s="160"/>
      <c r="L132" s="152"/>
      <c r="M132" s="152"/>
      <c r="N132" s="54"/>
    </row>
    <row r="133" spans="1:13" ht="12.75">
      <c r="A133" s="88">
        <v>633</v>
      </c>
      <c r="B133" s="101" t="s">
        <v>114</v>
      </c>
      <c r="C133" s="89" t="s">
        <v>619</v>
      </c>
      <c r="D133" s="119">
        <v>0</v>
      </c>
      <c r="E133" s="119">
        <v>0</v>
      </c>
      <c r="F133" s="951">
        <v>0</v>
      </c>
      <c r="G133" s="119">
        <v>0</v>
      </c>
      <c r="H133" s="119">
        <v>0</v>
      </c>
      <c r="I133" s="190"/>
      <c r="K133" s="160"/>
      <c r="L133" s="160"/>
      <c r="M133" s="160"/>
    </row>
    <row r="134" spans="1:13" ht="12.75">
      <c r="A134" s="912">
        <v>633</v>
      </c>
      <c r="B134" s="931" t="s">
        <v>133</v>
      </c>
      <c r="C134" s="913" t="s">
        <v>631</v>
      </c>
      <c r="D134" s="953">
        <v>0</v>
      </c>
      <c r="E134" s="953">
        <v>0</v>
      </c>
      <c r="F134" s="915">
        <v>0</v>
      </c>
      <c r="G134" s="953">
        <v>0</v>
      </c>
      <c r="H134" s="953">
        <v>0</v>
      </c>
      <c r="I134" s="969"/>
      <c r="K134" s="152"/>
      <c r="L134" s="1014"/>
      <c r="M134" s="1014"/>
    </row>
    <row r="135" spans="1:13" ht="12.75">
      <c r="A135" s="88">
        <v>633</v>
      </c>
      <c r="B135" s="101" t="s">
        <v>133</v>
      </c>
      <c r="C135" s="89" t="s">
        <v>631</v>
      </c>
      <c r="D135" s="119">
        <v>400</v>
      </c>
      <c r="E135" s="119">
        <v>0</v>
      </c>
      <c r="F135" s="951">
        <v>0</v>
      </c>
      <c r="G135" s="951">
        <v>0</v>
      </c>
      <c r="H135" s="119">
        <v>0</v>
      </c>
      <c r="I135" s="988"/>
      <c r="K135" s="1017"/>
      <c r="L135" s="867"/>
      <c r="M135" s="1014"/>
    </row>
    <row r="136" spans="1:13" ht="12.75">
      <c r="A136" s="178">
        <v>633</v>
      </c>
      <c r="B136" s="180" t="s">
        <v>150</v>
      </c>
      <c r="C136" s="143" t="s">
        <v>413</v>
      </c>
      <c r="D136" s="119">
        <v>100</v>
      </c>
      <c r="E136" s="119">
        <v>0</v>
      </c>
      <c r="F136" s="951">
        <v>0</v>
      </c>
      <c r="G136" s="119">
        <v>50</v>
      </c>
      <c r="H136" s="119">
        <v>0</v>
      </c>
      <c r="I136" s="969"/>
      <c r="K136" s="160"/>
      <c r="L136" s="1014"/>
      <c r="M136" s="1014"/>
    </row>
    <row r="137" spans="1:13" ht="12.75">
      <c r="A137" s="88">
        <v>633</v>
      </c>
      <c r="B137" s="101" t="s">
        <v>558</v>
      </c>
      <c r="C137" s="89" t="s">
        <v>415</v>
      </c>
      <c r="D137" s="119">
        <v>0</v>
      </c>
      <c r="E137" s="119">
        <v>0</v>
      </c>
      <c r="F137" s="951">
        <v>0</v>
      </c>
      <c r="G137" s="119">
        <v>0</v>
      </c>
      <c r="H137" s="119">
        <v>0</v>
      </c>
      <c r="I137" s="969"/>
      <c r="K137" s="152"/>
      <c r="L137" s="1014"/>
      <c r="M137" s="1014"/>
    </row>
    <row r="138" spans="1:13" ht="12.75">
      <c r="A138" s="1018">
        <v>634</v>
      </c>
      <c r="B138" s="123"/>
      <c r="C138" s="152" t="s">
        <v>250</v>
      </c>
      <c r="D138" s="229">
        <f>D139+D140+D141</f>
        <v>700</v>
      </c>
      <c r="E138" s="229">
        <f>E139+E140+E141</f>
        <v>467.91</v>
      </c>
      <c r="F138" s="284">
        <f>F139+F140+F141</f>
        <v>700</v>
      </c>
      <c r="G138" s="229">
        <f>G139+G140+G141</f>
        <v>720</v>
      </c>
      <c r="H138" s="229">
        <f>H139+H140+H141</f>
        <v>0</v>
      </c>
      <c r="I138" s="969"/>
      <c r="K138" s="152"/>
      <c r="L138" s="1014"/>
      <c r="M138" s="152"/>
    </row>
    <row r="139" spans="1:13" ht="12.75">
      <c r="A139" s="100">
        <v>634</v>
      </c>
      <c r="B139" s="101" t="s">
        <v>114</v>
      </c>
      <c r="C139" s="89" t="s">
        <v>623</v>
      </c>
      <c r="D139" s="119">
        <v>250</v>
      </c>
      <c r="E139" s="119">
        <v>173.25</v>
      </c>
      <c r="F139" s="951">
        <v>250</v>
      </c>
      <c r="G139" s="119">
        <v>320</v>
      </c>
      <c r="H139" s="119">
        <v>0</v>
      </c>
      <c r="I139" s="190"/>
      <c r="K139" s="152"/>
      <c r="L139" s="152"/>
      <c r="M139" s="152"/>
    </row>
    <row r="140" spans="1:14" ht="12.75">
      <c r="A140" s="100">
        <v>634</v>
      </c>
      <c r="B140" s="101" t="s">
        <v>133</v>
      </c>
      <c r="C140" s="89" t="s">
        <v>404</v>
      </c>
      <c r="D140" s="119">
        <v>250</v>
      </c>
      <c r="E140" s="119">
        <v>156.96</v>
      </c>
      <c r="F140" s="951">
        <v>250</v>
      </c>
      <c r="G140" s="119">
        <v>200</v>
      </c>
      <c r="H140" s="119">
        <v>0</v>
      </c>
      <c r="I140" s="969"/>
      <c r="K140" s="1014"/>
      <c r="L140" s="1014"/>
      <c r="M140" s="1014"/>
      <c r="N140" s="932"/>
    </row>
    <row r="141" spans="1:13" ht="12.75">
      <c r="A141" s="100">
        <v>634</v>
      </c>
      <c r="B141" s="101" t="s">
        <v>112</v>
      </c>
      <c r="C141" s="89" t="s">
        <v>625</v>
      </c>
      <c r="D141" s="119">
        <v>200</v>
      </c>
      <c r="E141" s="119">
        <v>137.7</v>
      </c>
      <c r="F141" s="951">
        <v>200</v>
      </c>
      <c r="G141" s="119">
        <v>200</v>
      </c>
      <c r="H141" s="119">
        <v>0</v>
      </c>
      <c r="I141" s="969"/>
      <c r="K141" s="1014"/>
      <c r="L141" s="1014"/>
      <c r="M141" s="1014"/>
    </row>
    <row r="142" spans="1:13" ht="12.75">
      <c r="A142" s="88">
        <v>635</v>
      </c>
      <c r="B142" s="101"/>
      <c r="C142" s="89" t="s">
        <v>351</v>
      </c>
      <c r="D142" s="229">
        <v>50</v>
      </c>
      <c r="E142" s="229">
        <v>0</v>
      </c>
      <c r="F142" s="284">
        <v>50</v>
      </c>
      <c r="G142" s="229">
        <v>0</v>
      </c>
      <c r="H142" s="229">
        <v>0</v>
      </c>
      <c r="I142" s="969"/>
      <c r="K142" s="1014"/>
      <c r="L142" s="1014"/>
      <c r="M142" s="1014"/>
    </row>
    <row r="143" spans="1:13" ht="12.75">
      <c r="A143" s="912">
        <v>637</v>
      </c>
      <c r="B143" s="931" t="s">
        <v>145</v>
      </c>
      <c r="C143" s="913" t="s">
        <v>378</v>
      </c>
      <c r="D143" s="119">
        <v>0</v>
      </c>
      <c r="E143" s="119">
        <v>0</v>
      </c>
      <c r="F143" s="951">
        <v>0</v>
      </c>
      <c r="G143" s="119">
        <v>0</v>
      </c>
      <c r="H143" s="119">
        <v>0</v>
      </c>
      <c r="I143" s="190"/>
      <c r="K143" s="152"/>
      <c r="L143" s="152"/>
      <c r="M143" s="152"/>
    </row>
    <row r="144" spans="1:13" ht="12.75">
      <c r="A144" s="88">
        <v>637</v>
      </c>
      <c r="B144" s="101"/>
      <c r="C144" s="89" t="s">
        <v>627</v>
      </c>
      <c r="D144" s="229">
        <v>500</v>
      </c>
      <c r="E144" s="229">
        <v>898.99</v>
      </c>
      <c r="F144" s="284">
        <v>1000</v>
      </c>
      <c r="G144" s="229">
        <v>1000</v>
      </c>
      <c r="H144" s="229">
        <v>0</v>
      </c>
      <c r="I144" s="956"/>
      <c r="K144" s="1017"/>
      <c r="L144" s="867"/>
      <c r="M144" s="152"/>
    </row>
    <row r="145" spans="1:13" ht="12.75">
      <c r="A145" s="1019">
        <v>642</v>
      </c>
      <c r="B145" s="180" t="s">
        <v>632</v>
      </c>
      <c r="C145" s="143" t="s">
        <v>633</v>
      </c>
      <c r="D145" s="229">
        <v>0</v>
      </c>
      <c r="E145" s="229">
        <v>2000</v>
      </c>
      <c r="F145" s="284">
        <v>9000</v>
      </c>
      <c r="G145" s="1020">
        <v>9000</v>
      </c>
      <c r="H145" s="229"/>
      <c r="I145" s="956"/>
      <c r="K145" s="1017"/>
      <c r="L145" s="867"/>
      <c r="M145" s="152"/>
    </row>
    <row r="146" spans="1:14" ht="12.75">
      <c r="A146" s="989" t="s">
        <v>634</v>
      </c>
      <c r="B146" s="990"/>
      <c r="C146" s="991" t="s">
        <v>635</v>
      </c>
      <c r="D146" s="1008">
        <f>SUM(D110,D130)</f>
        <v>57680</v>
      </c>
      <c r="E146" s="1008">
        <f>SUM(E110,E130)</f>
        <v>32383.709999999995</v>
      </c>
      <c r="F146" s="992">
        <f>F110+F130</f>
        <v>66330</v>
      </c>
      <c r="G146" s="992">
        <f>G110+G130</f>
        <v>77551</v>
      </c>
      <c r="H146" s="992">
        <f>H110+H130</f>
        <v>0</v>
      </c>
      <c r="I146" s="190"/>
      <c r="K146" s="152"/>
      <c r="L146" s="152"/>
      <c r="M146" s="152"/>
      <c r="N146" s="1021"/>
    </row>
    <row r="147" spans="1:14" ht="12.75">
      <c r="A147" s="1022"/>
      <c r="B147" s="1023"/>
      <c r="C147" s="1024"/>
      <c r="D147" s="1024"/>
      <c r="E147" s="1025"/>
      <c r="F147" s="1025"/>
      <c r="G147" s="1025"/>
      <c r="H147" s="1026"/>
      <c r="I147" s="191"/>
      <c r="J147" s="1002"/>
      <c r="K147" s="876"/>
      <c r="L147" s="876"/>
      <c r="M147" s="876"/>
      <c r="N147" s="1016"/>
    </row>
    <row r="148" spans="1:13" ht="12.75">
      <c r="A148" s="1022"/>
      <c r="B148" s="1023"/>
      <c r="C148" s="1024"/>
      <c r="D148" s="1024"/>
      <c r="E148" s="1025"/>
      <c r="F148" s="1025"/>
      <c r="G148" s="1025"/>
      <c r="H148" s="1026"/>
      <c r="I148" s="287"/>
      <c r="J148" s="1027"/>
      <c r="K148" s="206"/>
      <c r="L148" s="206"/>
      <c r="M148" s="206"/>
    </row>
    <row r="149" spans="1:13" ht="12.75">
      <c r="A149" s="1022"/>
      <c r="B149" s="1023"/>
      <c r="C149" s="1024"/>
      <c r="D149" s="1024"/>
      <c r="E149" s="1025"/>
      <c r="F149" s="1025"/>
      <c r="G149" s="1025"/>
      <c r="H149" s="1026"/>
      <c r="I149" s="287"/>
      <c r="J149" s="1027"/>
      <c r="K149" s="206"/>
      <c r="L149" s="206"/>
      <c r="M149" s="206"/>
    </row>
    <row r="150" spans="1:13" ht="12.75">
      <c r="A150" s="1022"/>
      <c r="B150" s="1023"/>
      <c r="C150" s="1024"/>
      <c r="D150" s="1024"/>
      <c r="E150" s="1025"/>
      <c r="F150" s="1025"/>
      <c r="G150" s="1025"/>
      <c r="H150" s="1026"/>
      <c r="I150" s="287"/>
      <c r="J150" s="1027"/>
      <c r="K150" s="206"/>
      <c r="L150" s="206"/>
      <c r="M150" s="206"/>
    </row>
    <row r="151" spans="1:13" ht="12.75">
      <c r="A151" s="1022"/>
      <c r="B151" s="1023"/>
      <c r="C151" s="1024"/>
      <c r="D151" s="1024"/>
      <c r="E151" s="1025"/>
      <c r="F151" s="1025"/>
      <c r="G151" s="1025"/>
      <c r="H151" s="1026"/>
      <c r="I151" s="287"/>
      <c r="J151" s="1027"/>
      <c r="K151" s="206"/>
      <c r="L151" s="206"/>
      <c r="M151" s="206"/>
    </row>
    <row r="152" spans="1:13" ht="12.75">
      <c r="A152" s="1022"/>
      <c r="B152" s="1023"/>
      <c r="C152" s="1024"/>
      <c r="D152" s="1024"/>
      <c r="E152" s="1025"/>
      <c r="F152" s="1025"/>
      <c r="G152" s="1025"/>
      <c r="H152" s="1026"/>
      <c r="I152" s="287"/>
      <c r="J152" s="1027"/>
      <c r="K152" s="206"/>
      <c r="L152" s="206"/>
      <c r="M152" s="206"/>
    </row>
    <row r="153" spans="1:13" ht="12.75" hidden="1">
      <c r="A153" s="1022"/>
      <c r="B153" s="1023"/>
      <c r="C153" s="1024"/>
      <c r="D153" s="1024"/>
      <c r="E153" s="1025"/>
      <c r="F153" s="1025"/>
      <c r="G153" s="1025"/>
      <c r="H153" s="1026"/>
      <c r="I153" s="287"/>
      <c r="J153" s="1027"/>
      <c r="K153" s="206"/>
      <c r="L153" s="206"/>
      <c r="M153" s="206"/>
    </row>
    <row r="154" spans="1:13" ht="12.75" hidden="1">
      <c r="A154" s="1009"/>
      <c r="B154" s="152"/>
      <c r="C154" s="282"/>
      <c r="D154" s="282"/>
      <c r="E154" s="1285" t="s">
        <v>636</v>
      </c>
      <c r="F154" s="1285"/>
      <c r="G154" s="1285"/>
      <c r="H154" s="1285"/>
      <c r="I154" s="287"/>
      <c r="J154" s="1027"/>
      <c r="K154" s="206"/>
      <c r="L154" s="206"/>
      <c r="M154" s="206"/>
    </row>
    <row r="155" spans="1:13" ht="12.75" hidden="1">
      <c r="A155" s="1009"/>
      <c r="B155" s="152"/>
      <c r="C155" s="282"/>
      <c r="D155" s="282"/>
      <c r="E155" s="1010"/>
      <c r="F155" s="1010"/>
      <c r="G155" s="1010"/>
      <c r="H155" s="1011"/>
      <c r="I155" s="1028"/>
      <c r="J155" s="1028"/>
      <c r="K155" s="1028"/>
      <c r="L155" s="1028"/>
      <c r="M155" s="1028"/>
    </row>
    <row r="156" spans="1:9" ht="12.75">
      <c r="A156" s="858" t="s">
        <v>498</v>
      </c>
      <c r="B156" s="859"/>
      <c r="C156" s="995"/>
      <c r="D156" s="246">
        <v>2014</v>
      </c>
      <c r="E156" s="861" t="s">
        <v>108</v>
      </c>
      <c r="F156" s="862" t="s">
        <v>109</v>
      </c>
      <c r="G156" s="981" t="s">
        <v>110</v>
      </c>
      <c r="H156" s="862"/>
      <c r="I156" s="287"/>
    </row>
    <row r="157" spans="1:13" s="1000" customFormat="1" ht="12.75">
      <c r="A157" s="1029" t="s">
        <v>637</v>
      </c>
      <c r="B157" s="1030"/>
      <c r="C157" s="1030"/>
      <c r="D157" s="972">
        <f>SUM(D158,D159,D160,D161,D166,D170,D171,D172)</f>
        <v>97970</v>
      </c>
      <c r="E157" s="972">
        <f>SUM(E158,E159,E160,E161,E166,E170,E171,E172)</f>
        <v>35073.350000000006</v>
      </c>
      <c r="F157" s="972">
        <f>SUM(F158,F159,F160,F161,F166,F170,F171,F172)</f>
        <v>87270</v>
      </c>
      <c r="G157" s="972">
        <f>SUM(G158,G159,G160,G161,G166,G170,G171,G172)</f>
        <v>88520</v>
      </c>
      <c r="H157" s="972">
        <f>SUM(H158,H159,H160,H161,H166,H170,H171,H172)</f>
        <v>0</v>
      </c>
      <c r="I157" s="997"/>
      <c r="J157" s="998"/>
      <c r="K157" s="999"/>
      <c r="L157" s="865"/>
      <c r="M157" s="866"/>
    </row>
    <row r="158" spans="1:13" s="55" customFormat="1" ht="12.75">
      <c r="A158" s="100">
        <v>610</v>
      </c>
      <c r="B158" s="101"/>
      <c r="C158" s="986" t="s">
        <v>538</v>
      </c>
      <c r="D158" s="229">
        <v>60000</v>
      </c>
      <c r="E158" s="229">
        <v>21211.51</v>
      </c>
      <c r="F158" s="229">
        <v>55000</v>
      </c>
      <c r="G158" s="229">
        <v>55000</v>
      </c>
      <c r="H158" s="229">
        <v>0</v>
      </c>
      <c r="I158" s="1013"/>
      <c r="J158" s="1002"/>
      <c r="K158" s="876"/>
      <c r="L158" s="876"/>
      <c r="M158" s="876"/>
    </row>
    <row r="159" spans="1:14" s="58" customFormat="1" ht="12.75">
      <c r="A159" s="100">
        <v>620</v>
      </c>
      <c r="B159" s="101"/>
      <c r="C159" s="89" t="s">
        <v>242</v>
      </c>
      <c r="D159" s="229">
        <v>22100</v>
      </c>
      <c r="E159" s="229">
        <v>7483.68</v>
      </c>
      <c r="F159" s="229">
        <v>20000</v>
      </c>
      <c r="G159" s="229">
        <v>18000</v>
      </c>
      <c r="H159" s="229">
        <v>0</v>
      </c>
      <c r="I159" s="190"/>
      <c r="K159" s="160"/>
      <c r="L159" s="160"/>
      <c r="M159" s="160"/>
      <c r="N159" s="54"/>
    </row>
    <row r="160" spans="1:13" ht="12.75">
      <c r="A160" s="100">
        <v>632</v>
      </c>
      <c r="B160" s="101"/>
      <c r="C160" s="89" t="s">
        <v>246</v>
      </c>
      <c r="D160" s="229">
        <v>1800</v>
      </c>
      <c r="E160" s="229">
        <v>779.08</v>
      </c>
      <c r="F160" s="229">
        <v>1600</v>
      </c>
      <c r="G160" s="229">
        <v>1650</v>
      </c>
      <c r="H160" s="229">
        <v>0</v>
      </c>
      <c r="I160" s="190"/>
      <c r="K160" s="160"/>
      <c r="L160" s="160"/>
      <c r="M160" s="160"/>
    </row>
    <row r="161" spans="1:13" ht="12.75">
      <c r="A161" s="142">
        <v>633</v>
      </c>
      <c r="B161" s="180"/>
      <c r="C161" s="143" t="s">
        <v>248</v>
      </c>
      <c r="D161" s="117">
        <f>D163+D164+D162</f>
        <v>2300</v>
      </c>
      <c r="E161" s="117">
        <f>E163+E164+E162+E165</f>
        <v>2204.6800000000003</v>
      </c>
      <c r="F161" s="117">
        <f>F163+F164+F162+F165</f>
        <v>4100</v>
      </c>
      <c r="G161" s="117">
        <f>G163+G164+G162+G165</f>
        <v>5900</v>
      </c>
      <c r="H161" s="117">
        <f>H163+H164+H162</f>
        <v>0</v>
      </c>
      <c r="I161" s="190"/>
      <c r="K161" s="160"/>
      <c r="L161" s="152"/>
      <c r="M161" s="152"/>
    </row>
    <row r="162" spans="1:13" ht="12.75">
      <c r="A162" s="100">
        <v>633</v>
      </c>
      <c r="B162" s="101" t="s">
        <v>133</v>
      </c>
      <c r="C162" s="89" t="s">
        <v>638</v>
      </c>
      <c r="D162" s="119">
        <v>1000</v>
      </c>
      <c r="E162" s="119">
        <v>382.8</v>
      </c>
      <c r="F162" s="119">
        <v>1000</v>
      </c>
      <c r="G162" s="119">
        <v>1000</v>
      </c>
      <c r="H162" s="119">
        <v>0</v>
      </c>
      <c r="I162" s="190"/>
      <c r="J162" s="190"/>
      <c r="K162" s="190"/>
      <c r="L162" s="190"/>
      <c r="M162" s="190"/>
    </row>
    <row r="163" spans="1:13" ht="12.75">
      <c r="A163" s="928">
        <v>633</v>
      </c>
      <c r="B163" s="942" t="s">
        <v>150</v>
      </c>
      <c r="C163" s="929" t="s">
        <v>413</v>
      </c>
      <c r="D163" s="119">
        <v>800</v>
      </c>
      <c r="E163" s="119">
        <v>710.38</v>
      </c>
      <c r="F163" s="119">
        <v>800</v>
      </c>
      <c r="G163" s="119">
        <v>1500</v>
      </c>
      <c r="H163" s="119">
        <v>0</v>
      </c>
      <c r="I163" s="190"/>
      <c r="J163" s="190"/>
      <c r="K163" s="190"/>
      <c r="L163" s="190"/>
      <c r="M163" s="190"/>
    </row>
    <row r="164" spans="1:13" ht="12.75">
      <c r="A164" s="88">
        <v>633</v>
      </c>
      <c r="B164" s="101" t="s">
        <v>553</v>
      </c>
      <c r="C164" s="89" t="s">
        <v>639</v>
      </c>
      <c r="D164" s="119">
        <v>500</v>
      </c>
      <c r="E164" s="119">
        <v>52.1</v>
      </c>
      <c r="F164" s="119">
        <v>300</v>
      </c>
      <c r="G164" s="119">
        <v>200</v>
      </c>
      <c r="H164" s="119">
        <v>0</v>
      </c>
      <c r="I164" s="969"/>
      <c r="K164" s="152"/>
      <c r="L164" s="1014"/>
      <c r="M164" s="1014"/>
    </row>
    <row r="165" spans="1:13" ht="12.75">
      <c r="A165" s="1031">
        <v>633</v>
      </c>
      <c r="B165" s="123" t="s">
        <v>586</v>
      </c>
      <c r="C165" s="152" t="s">
        <v>640</v>
      </c>
      <c r="D165" s="119"/>
      <c r="E165" s="119">
        <v>1059.4</v>
      </c>
      <c r="F165" s="119">
        <v>2000</v>
      </c>
      <c r="G165" s="119">
        <v>3200</v>
      </c>
      <c r="H165" s="119"/>
      <c r="I165" s="969"/>
      <c r="K165" s="152"/>
      <c r="L165" s="1014"/>
      <c r="M165" s="1014"/>
    </row>
    <row r="166" spans="1:13" ht="12.75">
      <c r="A166" s="1018">
        <v>634</v>
      </c>
      <c r="B166" s="123"/>
      <c r="C166" s="152" t="s">
        <v>250</v>
      </c>
      <c r="D166" s="229">
        <f>SUM(D167,D168,D169)</f>
        <v>8000</v>
      </c>
      <c r="E166" s="229">
        <f>SUM(E167,E168,E169)</f>
        <v>1278.38</v>
      </c>
      <c r="F166" s="229">
        <f>SUM(F167,F168,F169)</f>
        <v>2800</v>
      </c>
      <c r="G166" s="229">
        <f>SUM(G167,G168,G169)</f>
        <v>4100</v>
      </c>
      <c r="H166" s="229">
        <f>SUM(H167,H168,H169)</f>
        <v>0</v>
      </c>
      <c r="I166" s="969"/>
      <c r="K166" s="152"/>
      <c r="L166" s="1014"/>
      <c r="M166" s="1014"/>
    </row>
    <row r="167" spans="1:13" ht="12.75">
      <c r="A167" s="100">
        <v>634</v>
      </c>
      <c r="B167" s="101" t="s">
        <v>114</v>
      </c>
      <c r="C167" s="89" t="s">
        <v>623</v>
      </c>
      <c r="D167" s="119">
        <v>5000</v>
      </c>
      <c r="E167" s="119">
        <v>588.23</v>
      </c>
      <c r="F167" s="951">
        <v>1200</v>
      </c>
      <c r="G167" s="119">
        <v>1900</v>
      </c>
      <c r="H167" s="119">
        <v>0</v>
      </c>
      <c r="I167" s="190"/>
      <c r="K167" s="160"/>
      <c r="L167" s="160"/>
      <c r="M167" s="160"/>
    </row>
    <row r="168" spans="1:13" ht="12.75">
      <c r="A168" s="100">
        <v>634</v>
      </c>
      <c r="B168" s="101" t="s">
        <v>112</v>
      </c>
      <c r="C168" s="89" t="s">
        <v>625</v>
      </c>
      <c r="D168" s="119">
        <v>500</v>
      </c>
      <c r="E168" s="119">
        <v>33.75</v>
      </c>
      <c r="F168" s="951">
        <v>100</v>
      </c>
      <c r="G168" s="119">
        <v>100</v>
      </c>
      <c r="H168" s="119">
        <v>0</v>
      </c>
      <c r="I168" s="969"/>
      <c r="K168" s="160"/>
      <c r="L168" s="1014"/>
      <c r="M168" s="1014"/>
    </row>
    <row r="169" spans="1:13" ht="12.75">
      <c r="A169" s="100">
        <v>634</v>
      </c>
      <c r="B169" s="101" t="s">
        <v>117</v>
      </c>
      <c r="C169" s="89" t="s">
        <v>624</v>
      </c>
      <c r="D169" s="119">
        <v>2500</v>
      </c>
      <c r="E169" s="119">
        <v>656.4</v>
      </c>
      <c r="F169" s="951">
        <v>1500</v>
      </c>
      <c r="G169" s="119">
        <v>2100</v>
      </c>
      <c r="H169" s="119">
        <v>0</v>
      </c>
      <c r="I169" s="969"/>
      <c r="K169" s="152"/>
      <c r="L169" s="1014"/>
      <c r="M169" s="1014"/>
    </row>
    <row r="170" spans="1:13" ht="12.75">
      <c r="A170" s="178">
        <v>635</v>
      </c>
      <c r="B170" s="180"/>
      <c r="C170" s="143" t="s">
        <v>351</v>
      </c>
      <c r="D170" s="229">
        <v>3500</v>
      </c>
      <c r="E170" s="229">
        <v>1972.66</v>
      </c>
      <c r="F170" s="284">
        <v>3500</v>
      </c>
      <c r="G170" s="229">
        <v>3500</v>
      </c>
      <c r="H170" s="229">
        <v>0</v>
      </c>
      <c r="I170" s="969"/>
      <c r="K170" s="160"/>
      <c r="L170" s="1014"/>
      <c r="M170" s="1014"/>
    </row>
    <row r="171" spans="1:13" ht="12.75">
      <c r="A171" s="88">
        <v>637</v>
      </c>
      <c r="B171" s="101"/>
      <c r="C171" s="89" t="s">
        <v>641</v>
      </c>
      <c r="D171" s="229">
        <v>270</v>
      </c>
      <c r="E171" s="229">
        <v>143.36</v>
      </c>
      <c r="F171" s="284">
        <v>270</v>
      </c>
      <c r="G171" s="229">
        <v>370</v>
      </c>
      <c r="H171" s="229">
        <v>0</v>
      </c>
      <c r="I171" s="190"/>
      <c r="K171" s="160"/>
      <c r="L171" s="152"/>
      <c r="M171" s="152"/>
    </row>
    <row r="172" spans="1:13" ht="12.75">
      <c r="A172" s="88">
        <v>642</v>
      </c>
      <c r="B172" s="101" t="s">
        <v>123</v>
      </c>
      <c r="C172" s="89" t="s">
        <v>642</v>
      </c>
      <c r="D172" s="229">
        <v>0</v>
      </c>
      <c r="E172" s="229">
        <v>0</v>
      </c>
      <c r="F172" s="284">
        <v>0</v>
      </c>
      <c r="G172" s="229">
        <v>0</v>
      </c>
      <c r="H172" s="229">
        <v>0</v>
      </c>
      <c r="I172" s="190"/>
      <c r="K172" s="152"/>
      <c r="L172" s="152"/>
      <c r="M172" s="152"/>
    </row>
    <row r="173" spans="1:14" ht="12.75">
      <c r="A173" s="1032"/>
      <c r="B173" s="289"/>
      <c r="C173" s="1033"/>
      <c r="D173" s="1003"/>
      <c r="E173" s="1034"/>
      <c r="F173" s="1035"/>
      <c r="G173" s="1036"/>
      <c r="H173" s="1037"/>
      <c r="I173" s="190"/>
      <c r="K173" s="152"/>
      <c r="L173" s="152"/>
      <c r="M173" s="152"/>
      <c r="N173" s="1016"/>
    </row>
    <row r="174" spans="1:8" ht="12.75">
      <c r="A174" s="869" t="s">
        <v>643</v>
      </c>
      <c r="B174" s="971"/>
      <c r="C174" s="971"/>
      <c r="D174" s="872">
        <f>D175+D176+D177+D178+D179+D180+D181+D182</f>
        <v>14600</v>
      </c>
      <c r="E174" s="1038">
        <f>E175+E176+E177+E178+E179+E180+E181+E182</f>
        <v>6749.5199999999995</v>
      </c>
      <c r="F174" s="872">
        <f>F175+F177+F180+F179</f>
        <v>13050</v>
      </c>
      <c r="G174" s="872">
        <f>G175+G177+G180</f>
        <v>12250</v>
      </c>
      <c r="H174" s="872">
        <f>H175+H177+H180</f>
        <v>0</v>
      </c>
    </row>
    <row r="175" spans="1:14" s="55" customFormat="1" ht="12.75" customHeight="1">
      <c r="A175" s="100">
        <v>610</v>
      </c>
      <c r="B175" s="101"/>
      <c r="C175" s="986" t="s">
        <v>538</v>
      </c>
      <c r="D175" s="229">
        <v>2500</v>
      </c>
      <c r="E175" s="1039">
        <v>2139.56</v>
      </c>
      <c r="F175" s="229">
        <v>7500</v>
      </c>
      <c r="G175" s="229">
        <v>7900</v>
      </c>
      <c r="H175" s="229">
        <v>0</v>
      </c>
      <c r="I175" s="1013"/>
      <c r="J175" s="976"/>
      <c r="K175" s="876"/>
      <c r="L175" s="876"/>
      <c r="M175" s="876"/>
      <c r="N175" s="933"/>
    </row>
    <row r="176" spans="1:13" ht="12.75">
      <c r="A176" s="883">
        <v>610</v>
      </c>
      <c r="B176" s="931"/>
      <c r="C176" s="891" t="s">
        <v>644</v>
      </c>
      <c r="D176" s="987">
        <v>5000</v>
      </c>
      <c r="E176" s="1040">
        <v>1527.65</v>
      </c>
      <c r="F176" s="915">
        <v>3300</v>
      </c>
      <c r="G176" s="953">
        <v>4790</v>
      </c>
      <c r="H176" s="953">
        <v>0</v>
      </c>
      <c r="I176" s="190"/>
      <c r="K176" s="160"/>
      <c r="L176" s="152"/>
      <c r="M176" s="152"/>
    </row>
    <row r="177" spans="1:14" s="58" customFormat="1" ht="12.75">
      <c r="A177" s="100">
        <v>620</v>
      </c>
      <c r="B177" s="101"/>
      <c r="C177" s="89" t="s">
        <v>242</v>
      </c>
      <c r="D177" s="117">
        <v>1850</v>
      </c>
      <c r="E177" s="975">
        <v>1327.16</v>
      </c>
      <c r="F177" s="121">
        <v>1850</v>
      </c>
      <c r="G177" s="229">
        <v>2700</v>
      </c>
      <c r="H177" s="229">
        <v>0</v>
      </c>
      <c r="I177" s="956"/>
      <c r="K177" s="1017"/>
      <c r="L177" s="867"/>
      <c r="M177" s="1041"/>
      <c r="N177" s="54"/>
    </row>
    <row r="178" spans="1:13" ht="12.75" customHeight="1">
      <c r="A178" s="883">
        <v>620</v>
      </c>
      <c r="B178" s="931"/>
      <c r="C178" s="913" t="s">
        <v>645</v>
      </c>
      <c r="D178" s="987">
        <v>1000</v>
      </c>
      <c r="E178" s="1040">
        <v>0</v>
      </c>
      <c r="F178" s="915">
        <v>100</v>
      </c>
      <c r="G178" s="953">
        <v>0</v>
      </c>
      <c r="H178" s="953">
        <v>0</v>
      </c>
      <c r="I178" s="190"/>
      <c r="K178" s="152"/>
      <c r="L178" s="152"/>
      <c r="M178" s="152"/>
    </row>
    <row r="179" spans="1:13" ht="12.75" customHeight="1">
      <c r="A179" s="883">
        <v>633</v>
      </c>
      <c r="B179" s="931"/>
      <c r="C179" s="913" t="s">
        <v>646</v>
      </c>
      <c r="D179" s="987">
        <v>4000</v>
      </c>
      <c r="E179" s="1040">
        <v>1137.95</v>
      </c>
      <c r="F179" s="892">
        <v>2500</v>
      </c>
      <c r="G179" s="953">
        <v>2950</v>
      </c>
      <c r="H179" s="953">
        <v>0</v>
      </c>
      <c r="I179" s="956"/>
      <c r="K179" s="1017"/>
      <c r="L179" s="867"/>
      <c r="M179" s="1041"/>
    </row>
    <row r="180" spans="1:13" ht="12.75" customHeight="1">
      <c r="A180" s="100">
        <v>633</v>
      </c>
      <c r="B180" s="931"/>
      <c r="C180" s="89" t="s">
        <v>298</v>
      </c>
      <c r="D180" s="117">
        <v>250</v>
      </c>
      <c r="E180" s="975">
        <v>617.2</v>
      </c>
      <c r="F180" s="121">
        <v>1200</v>
      </c>
      <c r="G180" s="117">
        <v>1650</v>
      </c>
      <c r="H180" s="117">
        <v>0</v>
      </c>
      <c r="I180" s="956"/>
      <c r="K180" s="1017"/>
      <c r="L180" s="867"/>
      <c r="M180" s="1042"/>
    </row>
    <row r="181" spans="1:13" ht="12.75">
      <c r="A181" s="100">
        <v>634</v>
      </c>
      <c r="B181" s="101"/>
      <c r="C181" s="89" t="s">
        <v>250</v>
      </c>
      <c r="D181" s="229">
        <v>0</v>
      </c>
      <c r="E181" s="1039">
        <v>0</v>
      </c>
      <c r="F181" s="229">
        <v>0</v>
      </c>
      <c r="G181" s="229">
        <v>0</v>
      </c>
      <c r="H181" s="229">
        <v>0</v>
      </c>
      <c r="I181" s="190"/>
      <c r="K181" s="152"/>
      <c r="L181" s="152"/>
      <c r="M181" s="152"/>
    </row>
    <row r="182" spans="1:13" ht="12.75">
      <c r="A182" s="100">
        <v>637</v>
      </c>
      <c r="B182" s="101"/>
      <c r="C182" s="90" t="s">
        <v>256</v>
      </c>
      <c r="D182" s="262">
        <v>0</v>
      </c>
      <c r="E182" s="262">
        <v>0</v>
      </c>
      <c r="F182" s="262">
        <v>0</v>
      </c>
      <c r="G182" s="262">
        <v>0</v>
      </c>
      <c r="H182" s="262">
        <v>0</v>
      </c>
      <c r="I182" s="190"/>
      <c r="K182" s="152"/>
      <c r="L182" s="152"/>
      <c r="M182" s="152"/>
    </row>
    <row r="183" spans="1:13" ht="12.75">
      <c r="A183" s="1043"/>
      <c r="B183" s="289"/>
      <c r="C183" s="1003"/>
      <c r="D183" s="853"/>
      <c r="F183" s="1044"/>
      <c r="G183" s="1044"/>
      <c r="H183" s="1044"/>
      <c r="I183" s="190"/>
      <c r="K183" s="152"/>
      <c r="L183" s="152"/>
      <c r="M183" s="152"/>
    </row>
    <row r="184" spans="1:9" ht="12.75">
      <c r="A184" s="869" t="s">
        <v>647</v>
      </c>
      <c r="B184" s="1045"/>
      <c r="C184" s="1046"/>
      <c r="D184" s="872">
        <f>SUM(D185,D186)</f>
        <v>1000</v>
      </c>
      <c r="E184" s="872">
        <f>SUM(E185)</f>
        <v>0</v>
      </c>
      <c r="F184" s="872">
        <f>SUM(F185,F186)</f>
        <v>1000</v>
      </c>
      <c r="G184" s="872">
        <f>SUM(G185,G186)</f>
        <v>700</v>
      </c>
      <c r="H184" s="872">
        <f>SUM(H185,H186)</f>
        <v>0</v>
      </c>
      <c r="I184" s="191"/>
    </row>
    <row r="185" spans="1:13" s="289" customFormat="1" ht="11.25">
      <c r="A185" s="100">
        <v>637</v>
      </c>
      <c r="B185" s="101"/>
      <c r="C185" s="90" t="s">
        <v>256</v>
      </c>
      <c r="D185" s="229">
        <v>0</v>
      </c>
      <c r="E185" s="229">
        <v>0</v>
      </c>
      <c r="F185" s="229">
        <v>0</v>
      </c>
      <c r="G185" s="229">
        <v>0</v>
      </c>
      <c r="H185" s="229">
        <v>0</v>
      </c>
      <c r="I185" s="1013"/>
      <c r="J185" s="1002"/>
      <c r="K185" s="976"/>
      <c r="L185" s="976"/>
      <c r="M185" s="976"/>
    </row>
    <row r="186" spans="1:13" ht="12.75">
      <c r="A186" s="100">
        <v>637</v>
      </c>
      <c r="B186" s="101" t="s">
        <v>145</v>
      </c>
      <c r="C186" s="89" t="s">
        <v>378</v>
      </c>
      <c r="D186" s="229">
        <v>1000</v>
      </c>
      <c r="E186" s="229">
        <v>0</v>
      </c>
      <c r="F186" s="229">
        <v>1000</v>
      </c>
      <c r="G186" s="229">
        <v>700</v>
      </c>
      <c r="H186" s="229">
        <v>0</v>
      </c>
      <c r="I186" s="160"/>
      <c r="K186" s="152"/>
      <c r="L186" s="152"/>
      <c r="M186" s="152"/>
    </row>
    <row r="187" spans="1:13" ht="12.75">
      <c r="A187" s="1043"/>
      <c r="B187" s="289"/>
      <c r="C187" s="1003"/>
      <c r="D187" s="853"/>
      <c r="G187" s="265"/>
      <c r="H187" s="265"/>
      <c r="I187" s="969"/>
      <c r="K187" s="1014"/>
      <c r="L187" s="152"/>
      <c r="M187" s="152"/>
    </row>
    <row r="188" spans="1:8" ht="12.75">
      <c r="A188" s="869" t="s">
        <v>648</v>
      </c>
      <c r="B188" s="1045"/>
      <c r="C188" s="1046"/>
      <c r="D188" s="872">
        <f>SUM(D189,D191)</f>
        <v>10000</v>
      </c>
      <c r="E188" s="872">
        <f>SUM(E189,E191)</f>
        <v>0</v>
      </c>
      <c r="F188" s="872">
        <f>SUM(F189,F191)</f>
        <v>20000</v>
      </c>
      <c r="G188" s="872">
        <f>SUM(G189,G191)</f>
        <v>27650</v>
      </c>
      <c r="H188" s="872">
        <f>SUM(H189,H191)</f>
        <v>0</v>
      </c>
    </row>
    <row r="189" spans="1:13" s="289" customFormat="1" ht="11.25">
      <c r="A189" s="100">
        <v>633</v>
      </c>
      <c r="B189" s="101"/>
      <c r="C189" s="90" t="s">
        <v>248</v>
      </c>
      <c r="D189" s="229">
        <v>0</v>
      </c>
      <c r="E189" s="229">
        <v>0</v>
      </c>
      <c r="F189" s="229">
        <v>0</v>
      </c>
      <c r="G189" s="229">
        <v>3300</v>
      </c>
      <c r="H189" s="229">
        <v>0</v>
      </c>
      <c r="I189" s="1013"/>
      <c r="J189" s="1002"/>
      <c r="K189" s="876"/>
      <c r="L189" s="876"/>
      <c r="M189" s="876"/>
    </row>
    <row r="190" spans="1:13" ht="12.75">
      <c r="A190" s="100">
        <v>633</v>
      </c>
      <c r="B190" s="101" t="s">
        <v>150</v>
      </c>
      <c r="C190" s="90" t="s">
        <v>413</v>
      </c>
      <c r="D190" s="229">
        <v>0</v>
      </c>
      <c r="E190" s="229">
        <v>0</v>
      </c>
      <c r="F190" s="229">
        <v>0</v>
      </c>
      <c r="G190" s="140">
        <v>3300</v>
      </c>
      <c r="H190" s="229">
        <v>0</v>
      </c>
      <c r="I190" s="160"/>
      <c r="J190" s="137"/>
      <c r="K190" s="152"/>
      <c r="L190" s="152"/>
      <c r="M190" s="152"/>
    </row>
    <row r="191" spans="1:14" s="87" customFormat="1" ht="12.75">
      <c r="A191" s="88">
        <v>635</v>
      </c>
      <c r="B191" s="101"/>
      <c r="C191" s="89" t="s">
        <v>351</v>
      </c>
      <c r="D191" s="229">
        <v>10000</v>
      </c>
      <c r="E191" s="229">
        <v>0</v>
      </c>
      <c r="F191" s="284">
        <v>20000</v>
      </c>
      <c r="G191" s="229">
        <v>24350</v>
      </c>
      <c r="H191" s="229">
        <v>0</v>
      </c>
      <c r="I191" s="969"/>
      <c r="J191" s="137"/>
      <c r="K191" s="969"/>
      <c r="L191" s="152"/>
      <c r="M191" s="152"/>
      <c r="N191" s="54"/>
    </row>
    <row r="192" spans="1:14" s="87" customFormat="1" ht="12.75">
      <c r="A192" s="1032"/>
      <c r="B192" s="289"/>
      <c r="C192" s="934"/>
      <c r="D192" s="1047"/>
      <c r="E192" s="1047"/>
      <c r="F192" s="1048"/>
      <c r="G192" s="1049"/>
      <c r="H192" s="1049"/>
      <c r="I192" s="160"/>
      <c r="J192" s="58"/>
      <c r="K192" s="160"/>
      <c r="L192" s="152"/>
      <c r="M192" s="152"/>
      <c r="N192" s="54"/>
    </row>
    <row r="193" spans="1:14" s="87" customFormat="1" ht="12.75">
      <c r="A193" s="869" t="s">
        <v>649</v>
      </c>
      <c r="B193" s="1045"/>
      <c r="C193" s="1045"/>
      <c r="D193" s="872">
        <f>SUM(D194)</f>
        <v>0</v>
      </c>
      <c r="E193" s="872">
        <f>SUM(E194)</f>
        <v>0</v>
      </c>
      <c r="F193" s="872">
        <f>SUM(F194)</f>
        <v>0</v>
      </c>
      <c r="G193" s="872">
        <f>SUM(G194)</f>
        <v>0</v>
      </c>
      <c r="H193" s="872">
        <f>SUM(H194)</f>
        <v>0</v>
      </c>
      <c r="I193" s="161"/>
      <c r="J193" s="58"/>
      <c r="K193" s="58"/>
      <c r="L193" s="58"/>
      <c r="M193" s="58"/>
      <c r="N193" s="54"/>
    </row>
    <row r="194" spans="1:13" s="289" customFormat="1" ht="11.25">
      <c r="A194" s="100">
        <v>637</v>
      </c>
      <c r="B194" s="101"/>
      <c r="C194" s="89" t="s">
        <v>256</v>
      </c>
      <c r="D194" s="229">
        <v>0</v>
      </c>
      <c r="E194" s="229">
        <v>0</v>
      </c>
      <c r="F194" s="229">
        <v>0</v>
      </c>
      <c r="G194" s="229">
        <v>0</v>
      </c>
      <c r="H194" s="229">
        <v>0</v>
      </c>
      <c r="I194" s="1013"/>
      <c r="J194" s="1002"/>
      <c r="K194" s="976"/>
      <c r="L194" s="976"/>
      <c r="M194" s="976"/>
    </row>
    <row r="195" spans="1:13" ht="12.75">
      <c r="A195" s="100">
        <v>637</v>
      </c>
      <c r="B195" s="101" t="s">
        <v>145</v>
      </c>
      <c r="C195" s="89" t="s">
        <v>378</v>
      </c>
      <c r="D195" s="229">
        <v>0</v>
      </c>
      <c r="E195" s="229">
        <v>0</v>
      </c>
      <c r="F195" s="229">
        <v>0</v>
      </c>
      <c r="G195" s="229">
        <v>0</v>
      </c>
      <c r="H195" s="229">
        <v>0</v>
      </c>
      <c r="I195" s="160"/>
      <c r="K195" s="152"/>
      <c r="L195" s="152"/>
      <c r="M195" s="152"/>
    </row>
    <row r="196" spans="1:13" ht="12.75">
      <c r="A196" s="989" t="s">
        <v>650</v>
      </c>
      <c r="B196" s="990"/>
      <c r="C196" s="991" t="s">
        <v>651</v>
      </c>
      <c r="D196" s="253">
        <f>SUM(D157,D174,D184,D188,D193)</f>
        <v>123570</v>
      </c>
      <c r="E196" s="253">
        <f>SUM(E157,E174,E184,E188,E193)</f>
        <v>41822.87</v>
      </c>
      <c r="F196" s="151">
        <f>F157+F174+F184+F188+F193</f>
        <v>121320</v>
      </c>
      <c r="G196" s="151">
        <f>G157+G174+G184+G188+G193</f>
        <v>129120</v>
      </c>
      <c r="H196" s="151">
        <f>H157+H174+H184+H188+H193</f>
        <v>0</v>
      </c>
      <c r="I196" s="969"/>
      <c r="K196" s="1014"/>
      <c r="L196" s="152"/>
      <c r="M196" s="152"/>
    </row>
    <row r="197" spans="1:14" ht="12.75">
      <c r="A197" s="1009"/>
      <c r="B197" s="152"/>
      <c r="C197" s="282"/>
      <c r="D197" s="282"/>
      <c r="E197" s="1010"/>
      <c r="F197" s="1010"/>
      <c r="G197" s="1010"/>
      <c r="H197" s="1011"/>
      <c r="I197" s="191"/>
      <c r="J197" s="1003"/>
      <c r="K197" s="876"/>
      <c r="L197" s="876"/>
      <c r="M197" s="876"/>
      <c r="N197" s="1016"/>
    </row>
    <row r="198" spans="1:9" ht="12.75">
      <c r="A198" s="1009"/>
      <c r="B198" s="152"/>
      <c r="C198" s="282"/>
      <c r="D198" s="282"/>
      <c r="E198" s="1010"/>
      <c r="F198" s="1249" t="s">
        <v>652</v>
      </c>
      <c r="G198" s="1249"/>
      <c r="H198" s="1249"/>
      <c r="I198" s="287"/>
    </row>
    <row r="199" spans="1:13" ht="12.75" hidden="1">
      <c r="A199" s="1009"/>
      <c r="B199" s="152"/>
      <c r="C199" s="282"/>
      <c r="D199" s="282"/>
      <c r="E199" s="1010"/>
      <c r="F199" s="1010"/>
      <c r="G199" s="1010"/>
      <c r="H199" s="1011"/>
      <c r="I199" s="272"/>
      <c r="J199" s="272"/>
      <c r="K199" s="272"/>
      <c r="L199" s="272"/>
      <c r="M199" s="272"/>
    </row>
    <row r="200" spans="1:9" ht="12.75">
      <c r="A200" s="858" t="s">
        <v>498</v>
      </c>
      <c r="B200" s="859"/>
      <c r="C200" s="860"/>
      <c r="D200" s="246">
        <v>2014</v>
      </c>
      <c r="E200" s="861" t="s">
        <v>108</v>
      </c>
      <c r="F200" s="862" t="s">
        <v>109</v>
      </c>
      <c r="G200" s="981" t="s">
        <v>110</v>
      </c>
      <c r="H200" s="862"/>
      <c r="I200" s="287"/>
    </row>
    <row r="201" spans="1:13" s="1000" customFormat="1" ht="12">
      <c r="A201" s="869" t="s">
        <v>653</v>
      </c>
      <c r="B201" s="1045"/>
      <c r="C201" s="1045"/>
      <c r="D201" s="972">
        <f>SUM(D202,D203,D206,D207,D208)</f>
        <v>70000</v>
      </c>
      <c r="E201" s="972">
        <f>SUM(E202,E203,E206,E207,E208,E209)</f>
        <v>37334.26</v>
      </c>
      <c r="F201" s="972">
        <f>SUM(F202,F203,F206,F207,F208,F209)</f>
        <v>74500</v>
      </c>
      <c r="G201" s="972">
        <f>SUM(G202,G203,G206,G207,G208+G209)</f>
        <v>72165</v>
      </c>
      <c r="H201" s="972">
        <f>SUM(H202,H203,H206,H207,H208)</f>
        <v>0</v>
      </c>
      <c r="I201" s="997"/>
      <c r="J201" s="998"/>
      <c r="K201" s="999"/>
      <c r="L201" s="865"/>
      <c r="M201" s="866"/>
    </row>
    <row r="202" spans="1:13" s="289" customFormat="1" ht="11.25">
      <c r="A202" s="100">
        <v>633</v>
      </c>
      <c r="B202" s="101"/>
      <c r="C202" s="89" t="s">
        <v>248</v>
      </c>
      <c r="D202" s="229">
        <v>0</v>
      </c>
      <c r="E202" s="229">
        <v>0</v>
      </c>
      <c r="F202" s="229">
        <v>0</v>
      </c>
      <c r="G202" s="229">
        <v>0</v>
      </c>
      <c r="H202" s="229">
        <v>0</v>
      </c>
      <c r="I202" s="1013"/>
      <c r="J202" s="976"/>
      <c r="K202" s="876"/>
      <c r="L202" s="876"/>
      <c r="M202" s="876"/>
    </row>
    <row r="203" spans="1:14" s="58" customFormat="1" ht="12.75">
      <c r="A203" s="100">
        <v>634</v>
      </c>
      <c r="B203" s="101"/>
      <c r="C203" s="89" t="s">
        <v>250</v>
      </c>
      <c r="D203" s="229">
        <f>SUM(D204,D205)</f>
        <v>0</v>
      </c>
      <c r="E203" s="229">
        <f>SUM(E204,E205)</f>
        <v>0</v>
      </c>
      <c r="F203" s="229">
        <f>SUM(F204,F205)</f>
        <v>0</v>
      </c>
      <c r="G203" s="229">
        <f>SUM(G204,G205)</f>
        <v>0</v>
      </c>
      <c r="H203" s="229">
        <f>SUM(H204,H205)</f>
        <v>0</v>
      </c>
      <c r="I203" s="160"/>
      <c r="K203" s="152"/>
      <c r="L203" s="152"/>
      <c r="M203" s="152"/>
      <c r="N203" s="54"/>
    </row>
    <row r="204" spans="1:14" s="87" customFormat="1" ht="12.75">
      <c r="A204" s="100">
        <v>634</v>
      </c>
      <c r="B204" s="101" t="s">
        <v>114</v>
      </c>
      <c r="C204" s="89" t="s">
        <v>654</v>
      </c>
      <c r="D204" s="229">
        <v>0</v>
      </c>
      <c r="E204" s="229">
        <v>0</v>
      </c>
      <c r="F204" s="229">
        <v>0</v>
      </c>
      <c r="G204" s="229">
        <v>0</v>
      </c>
      <c r="H204" s="229">
        <v>0</v>
      </c>
      <c r="I204" s="160"/>
      <c r="J204" s="58"/>
      <c r="K204" s="152"/>
      <c r="L204" s="152"/>
      <c r="M204" s="152"/>
      <c r="N204" s="54"/>
    </row>
    <row r="205" spans="1:13" ht="12.75">
      <c r="A205" s="100">
        <v>634</v>
      </c>
      <c r="B205" s="101" t="s">
        <v>117</v>
      </c>
      <c r="C205" s="89" t="s">
        <v>624</v>
      </c>
      <c r="D205" s="229">
        <v>0</v>
      </c>
      <c r="E205" s="229">
        <v>0</v>
      </c>
      <c r="F205" s="229">
        <v>0</v>
      </c>
      <c r="G205" s="229">
        <v>0</v>
      </c>
      <c r="H205" s="229">
        <v>0</v>
      </c>
      <c r="I205" s="969"/>
      <c r="K205" s="1014"/>
      <c r="L205" s="152"/>
      <c r="M205" s="152"/>
    </row>
    <row r="206" spans="1:13" ht="12.75">
      <c r="A206" s="100">
        <v>635</v>
      </c>
      <c r="B206" s="101"/>
      <c r="C206" s="89" t="s">
        <v>351</v>
      </c>
      <c r="D206" s="229">
        <v>0</v>
      </c>
      <c r="E206" s="229">
        <v>0</v>
      </c>
      <c r="F206" s="229">
        <v>0</v>
      </c>
      <c r="G206" s="229">
        <v>160</v>
      </c>
      <c r="H206" s="229">
        <v>0</v>
      </c>
      <c r="I206" s="969"/>
      <c r="K206" s="1014"/>
      <c r="L206" s="152"/>
      <c r="M206" s="152"/>
    </row>
    <row r="207" spans="1:13" ht="12.75">
      <c r="A207" s="100">
        <v>636</v>
      </c>
      <c r="B207" s="101"/>
      <c r="C207" s="89" t="s">
        <v>655</v>
      </c>
      <c r="D207" s="229">
        <v>0</v>
      </c>
      <c r="E207" s="229">
        <v>0</v>
      </c>
      <c r="F207" s="229">
        <v>0</v>
      </c>
      <c r="G207" s="229">
        <v>0</v>
      </c>
      <c r="H207" s="229">
        <v>0</v>
      </c>
      <c r="I207" s="160"/>
      <c r="K207" s="1007"/>
      <c r="L207" s="152"/>
      <c r="M207" s="152"/>
    </row>
    <row r="208" spans="1:13" ht="12.75">
      <c r="A208" s="142">
        <v>637</v>
      </c>
      <c r="B208" s="180"/>
      <c r="C208" s="1050" t="s">
        <v>256</v>
      </c>
      <c r="D208" s="229">
        <v>70000</v>
      </c>
      <c r="E208" s="229">
        <v>32895.48</v>
      </c>
      <c r="F208" s="229">
        <v>70000</v>
      </c>
      <c r="G208" s="229">
        <v>66200</v>
      </c>
      <c r="H208" s="229">
        <v>0</v>
      </c>
      <c r="I208" s="160"/>
      <c r="K208" s="152"/>
      <c r="L208" s="152"/>
      <c r="M208" s="152"/>
    </row>
    <row r="209" spans="1:13" ht="12.75">
      <c r="A209" s="883">
        <v>637</v>
      </c>
      <c r="B209" s="931" t="s">
        <v>112</v>
      </c>
      <c r="C209" s="913" t="s">
        <v>656</v>
      </c>
      <c r="D209" s="953">
        <v>0</v>
      </c>
      <c r="E209" s="1005">
        <v>4438.78</v>
      </c>
      <c r="F209" s="1005">
        <v>4500</v>
      </c>
      <c r="G209" s="1005">
        <v>5805</v>
      </c>
      <c r="H209" s="1005">
        <v>0</v>
      </c>
      <c r="I209" s="190"/>
      <c r="K209" s="160"/>
      <c r="L209" s="152"/>
      <c r="M209" s="152"/>
    </row>
    <row r="210" spans="1:13" ht="12.75">
      <c r="A210" s="1015"/>
      <c r="B210" s="58"/>
      <c r="C210" s="58"/>
      <c r="D210" s="853"/>
      <c r="F210" s="216"/>
      <c r="G210" s="216"/>
      <c r="H210" s="216"/>
      <c r="I210" s="190"/>
      <c r="K210" s="160"/>
      <c r="L210" s="952"/>
      <c r="M210" s="152"/>
    </row>
    <row r="211" spans="1:9" ht="12.75">
      <c r="A211" s="869" t="s">
        <v>657</v>
      </c>
      <c r="B211" s="1045"/>
      <c r="C211" s="1045"/>
      <c r="D211" s="972">
        <f>SUM(D212,D213,D214,D215,D216,D221)</f>
        <v>26300</v>
      </c>
      <c r="E211" s="972">
        <f>SUM(E212,E213,E214,E215,E216,E221,E223,E224)</f>
        <v>10100.87</v>
      </c>
      <c r="F211" s="972">
        <f>SUM(F212,F213,F214,F215,F216,F221,F223,F224)</f>
        <v>18020</v>
      </c>
      <c r="G211" s="972">
        <f>SUM(G212,G213,G214,G215,G216,G221+G220+G222+G223+G224)</f>
        <v>18270</v>
      </c>
      <c r="H211" s="972">
        <f>SUM(H212,H213,H214,H215,H216,H221)</f>
        <v>0</v>
      </c>
      <c r="I211" s="1051"/>
    </row>
    <row r="212" spans="1:13" s="289" customFormat="1" ht="11.25">
      <c r="A212" s="88">
        <v>610</v>
      </c>
      <c r="B212" s="89"/>
      <c r="C212" s="89" t="s">
        <v>538</v>
      </c>
      <c r="D212" s="229">
        <v>5500</v>
      </c>
      <c r="E212" s="229">
        <v>479.81</v>
      </c>
      <c r="F212" s="229">
        <v>500</v>
      </c>
      <c r="G212" s="229">
        <v>500</v>
      </c>
      <c r="H212" s="229">
        <v>0</v>
      </c>
      <c r="I212" s="1013"/>
      <c r="J212" s="976"/>
      <c r="K212" s="876"/>
      <c r="L212" s="876"/>
      <c r="M212" s="876"/>
    </row>
    <row r="213" spans="1:14" s="58" customFormat="1" ht="12.75">
      <c r="A213" s="88">
        <v>620</v>
      </c>
      <c r="B213" s="89"/>
      <c r="C213" s="89" t="s">
        <v>242</v>
      </c>
      <c r="D213" s="229">
        <v>1800</v>
      </c>
      <c r="E213" s="229">
        <v>326.62</v>
      </c>
      <c r="F213" s="229">
        <v>350</v>
      </c>
      <c r="G213" s="229">
        <v>350</v>
      </c>
      <c r="H213" s="229">
        <v>0</v>
      </c>
      <c r="I213" s="190"/>
      <c r="J213" s="137"/>
      <c r="K213" s="160"/>
      <c r="L213" s="152"/>
      <c r="M213" s="152"/>
      <c r="N213" s="54"/>
    </row>
    <row r="214" spans="1:14" s="87" customFormat="1" ht="12.75">
      <c r="A214" s="1052">
        <v>632</v>
      </c>
      <c r="B214" s="1053"/>
      <c r="C214" s="1054" t="s">
        <v>246</v>
      </c>
      <c r="D214" s="229">
        <v>6000</v>
      </c>
      <c r="E214" s="229">
        <v>3647.73</v>
      </c>
      <c r="F214" s="229">
        <v>7000</v>
      </c>
      <c r="G214" s="229">
        <v>5000</v>
      </c>
      <c r="H214" s="229">
        <v>0</v>
      </c>
      <c r="I214" s="190"/>
      <c r="J214" s="137"/>
      <c r="K214" s="160"/>
      <c r="L214" s="152"/>
      <c r="M214" s="152"/>
      <c r="N214" s="54"/>
    </row>
    <row r="215" spans="1:14" s="87" customFormat="1" ht="12.75">
      <c r="A215" s="178">
        <v>633</v>
      </c>
      <c r="B215" s="1055"/>
      <c r="C215" s="143" t="s">
        <v>248</v>
      </c>
      <c r="D215" s="229">
        <v>0</v>
      </c>
      <c r="E215" s="229">
        <v>87.25</v>
      </c>
      <c r="F215" s="229">
        <v>100</v>
      </c>
      <c r="G215" s="229">
        <v>100</v>
      </c>
      <c r="H215" s="229">
        <v>0</v>
      </c>
      <c r="I215" s="190"/>
      <c r="J215" s="137"/>
      <c r="K215" s="160"/>
      <c r="L215" s="152"/>
      <c r="M215" s="152"/>
      <c r="N215" s="54"/>
    </row>
    <row r="216" spans="1:14" s="87" customFormat="1" ht="12.75">
      <c r="A216" s="88">
        <v>634</v>
      </c>
      <c r="B216" s="1056"/>
      <c r="C216" s="90" t="s">
        <v>658</v>
      </c>
      <c r="D216" s="229">
        <f>SUM(D217,D218,D219)</f>
        <v>9500</v>
      </c>
      <c r="E216" s="229">
        <f>SUM(E217,E218,E219)</f>
        <v>2897.3</v>
      </c>
      <c r="F216" s="229">
        <f>SUM(F217,F218,F219)</f>
        <v>6050</v>
      </c>
      <c r="G216" s="229">
        <f>SUM(G217:G219)</f>
        <v>7150</v>
      </c>
      <c r="H216" s="229">
        <v>0</v>
      </c>
      <c r="I216" s="190"/>
      <c r="J216" s="137"/>
      <c r="K216" s="152"/>
      <c r="L216" s="152"/>
      <c r="M216" s="152"/>
      <c r="N216" s="54"/>
    </row>
    <row r="217" spans="1:14" s="87" customFormat="1" ht="12.75">
      <c r="A217" s="88">
        <v>634</v>
      </c>
      <c r="B217" s="1056" t="s">
        <v>114</v>
      </c>
      <c r="C217" s="90" t="s">
        <v>623</v>
      </c>
      <c r="D217" s="119">
        <v>5850</v>
      </c>
      <c r="E217" s="119">
        <v>2339.23</v>
      </c>
      <c r="F217" s="119">
        <v>5000</v>
      </c>
      <c r="G217" s="140">
        <v>5000</v>
      </c>
      <c r="H217" s="229"/>
      <c r="I217" s="190"/>
      <c r="J217" s="137"/>
      <c r="K217" s="160"/>
      <c r="L217" s="152"/>
      <c r="M217" s="152"/>
      <c r="N217" s="54"/>
    </row>
    <row r="218" spans="1:14" s="87" customFormat="1" ht="12.75">
      <c r="A218" s="178">
        <v>634</v>
      </c>
      <c r="B218" s="1055" t="s">
        <v>117</v>
      </c>
      <c r="C218" s="144" t="s">
        <v>659</v>
      </c>
      <c r="D218" s="119">
        <v>3500</v>
      </c>
      <c r="E218" s="119">
        <v>524.32</v>
      </c>
      <c r="F218" s="119">
        <v>1000</v>
      </c>
      <c r="G218" s="140">
        <v>2100</v>
      </c>
      <c r="H218" s="229"/>
      <c r="I218" s="190"/>
      <c r="J218" s="137"/>
      <c r="K218" s="160"/>
      <c r="L218" s="152"/>
      <c r="M218" s="152"/>
      <c r="N218" s="54"/>
    </row>
    <row r="219" spans="1:14" s="87" customFormat="1" ht="12.75">
      <c r="A219" s="209">
        <v>634</v>
      </c>
      <c r="B219" s="1056" t="s">
        <v>112</v>
      </c>
      <c r="C219" s="90" t="s">
        <v>660</v>
      </c>
      <c r="D219" s="110">
        <v>150</v>
      </c>
      <c r="E219" s="110">
        <v>33.75</v>
      </c>
      <c r="F219" s="110">
        <v>50</v>
      </c>
      <c r="G219" s="1057">
        <v>50</v>
      </c>
      <c r="H219" s="228"/>
      <c r="I219" s="190"/>
      <c r="J219" s="137"/>
      <c r="K219" s="160"/>
      <c r="L219" s="152"/>
      <c r="M219" s="152"/>
      <c r="N219" s="54"/>
    </row>
    <row r="220" spans="1:14" s="87" customFormat="1" ht="12.75">
      <c r="A220" s="1058">
        <v>635</v>
      </c>
      <c r="B220" s="1059"/>
      <c r="C220" s="929" t="s">
        <v>334</v>
      </c>
      <c r="D220" s="110"/>
      <c r="E220" s="110"/>
      <c r="F220" s="110"/>
      <c r="G220" s="145">
        <v>1050</v>
      </c>
      <c r="H220" s="228"/>
      <c r="I220" s="190"/>
      <c r="J220" s="137"/>
      <c r="K220" s="160"/>
      <c r="L220" s="152"/>
      <c r="M220" s="152"/>
      <c r="N220" s="54"/>
    </row>
    <row r="221" spans="1:14" s="87" customFormat="1" ht="12.75">
      <c r="A221" s="928">
        <v>637</v>
      </c>
      <c r="B221" s="942"/>
      <c r="C221" s="929" t="s">
        <v>256</v>
      </c>
      <c r="D221" s="229">
        <v>3500</v>
      </c>
      <c r="E221" s="229">
        <v>2146.24</v>
      </c>
      <c r="F221" s="229">
        <v>3500</v>
      </c>
      <c r="G221" s="229">
        <v>3500</v>
      </c>
      <c r="H221" s="229">
        <v>0</v>
      </c>
      <c r="I221" s="190"/>
      <c r="J221" s="137"/>
      <c r="K221" s="160"/>
      <c r="L221" s="152"/>
      <c r="M221" s="152"/>
      <c r="N221" s="54"/>
    </row>
    <row r="222" spans="1:14" s="87" customFormat="1" ht="12.75">
      <c r="A222" s="928">
        <v>637</v>
      </c>
      <c r="B222" s="942" t="s">
        <v>586</v>
      </c>
      <c r="C222" s="929" t="s">
        <v>296</v>
      </c>
      <c r="D222" s="229"/>
      <c r="E222" s="229"/>
      <c r="F222" s="229"/>
      <c r="G222" s="229">
        <v>100</v>
      </c>
      <c r="H222" s="229"/>
      <c r="I222" s="190"/>
      <c r="J222" s="137"/>
      <c r="K222" s="160"/>
      <c r="L222" s="152"/>
      <c r="M222" s="152"/>
      <c r="N222" s="54"/>
    </row>
    <row r="223" spans="1:14" s="87" customFormat="1" ht="12.75">
      <c r="A223" s="209">
        <v>642</v>
      </c>
      <c r="B223" s="101" t="s">
        <v>124</v>
      </c>
      <c r="C223" s="90" t="s">
        <v>661</v>
      </c>
      <c r="D223" s="229"/>
      <c r="E223" s="229">
        <v>437</v>
      </c>
      <c r="F223" s="229">
        <v>440</v>
      </c>
      <c r="G223" s="229">
        <v>440</v>
      </c>
      <c r="H223" s="229"/>
      <c r="I223" s="190"/>
      <c r="J223" s="137"/>
      <c r="K223" s="160"/>
      <c r="L223" s="152"/>
      <c r="M223" s="152"/>
      <c r="N223" s="54"/>
    </row>
    <row r="224" spans="1:14" s="87" customFormat="1" ht="12.75">
      <c r="A224" s="209">
        <v>642</v>
      </c>
      <c r="B224" s="101" t="s">
        <v>586</v>
      </c>
      <c r="C224" s="90" t="s">
        <v>662</v>
      </c>
      <c r="D224" s="229"/>
      <c r="E224" s="229">
        <v>78.92</v>
      </c>
      <c r="F224" s="229">
        <v>80</v>
      </c>
      <c r="G224" s="229">
        <v>80</v>
      </c>
      <c r="H224" s="229"/>
      <c r="I224" s="190"/>
      <c r="J224" s="137"/>
      <c r="K224" s="160"/>
      <c r="L224" s="152"/>
      <c r="M224" s="152"/>
      <c r="N224" s="54"/>
    </row>
    <row r="225" spans="1:14" s="87" customFormat="1" ht="12.75">
      <c r="A225" s="1032"/>
      <c r="B225" s="289"/>
      <c r="C225" s="1003"/>
      <c r="D225" s="853"/>
      <c r="E225" s="853"/>
      <c r="F225" s="1036"/>
      <c r="G225" s="1036"/>
      <c r="H225" s="1037"/>
      <c r="I225" s="160"/>
      <c r="J225" s="58"/>
      <c r="K225" s="160"/>
      <c r="L225" s="152"/>
      <c r="M225" s="152"/>
      <c r="N225" s="54"/>
    </row>
    <row r="226" spans="1:14" s="87" customFormat="1" ht="12.75">
      <c r="A226" s="869" t="s">
        <v>663</v>
      </c>
      <c r="B226" s="1045"/>
      <c r="C226" s="1045"/>
      <c r="D226" s="872">
        <f>SUM(D227,D228)</f>
        <v>0</v>
      </c>
      <c r="E226" s="1038">
        <f>SUM(E227,E228)</f>
        <v>0</v>
      </c>
      <c r="F226" s="872">
        <f>SUM(F227,F228)</f>
        <v>0</v>
      </c>
      <c r="G226" s="872">
        <f>SUM(G227)</f>
        <v>0</v>
      </c>
      <c r="H226" s="872">
        <f>SUM(H227)</f>
        <v>0</v>
      </c>
      <c r="I226" s="161"/>
      <c r="J226" s="58"/>
      <c r="K226" s="58"/>
      <c r="L226" s="58"/>
      <c r="M226" s="58"/>
      <c r="N226" s="54"/>
    </row>
    <row r="227" spans="1:13" s="289" customFormat="1" ht="11.25">
      <c r="A227" s="100">
        <v>633</v>
      </c>
      <c r="B227" s="101"/>
      <c r="C227" s="89" t="s">
        <v>664</v>
      </c>
      <c r="D227" s="229">
        <v>0</v>
      </c>
      <c r="E227" s="1039">
        <v>0</v>
      </c>
      <c r="F227" s="284"/>
      <c r="G227" s="229">
        <v>0</v>
      </c>
      <c r="H227" s="229">
        <v>0</v>
      </c>
      <c r="I227" s="1013"/>
      <c r="J227" s="976"/>
      <c r="K227" s="976"/>
      <c r="L227" s="976"/>
      <c r="M227" s="976"/>
    </row>
    <row r="228" spans="1:13" ht="12.75">
      <c r="A228" s="100">
        <v>637</v>
      </c>
      <c r="B228" s="101" t="s">
        <v>145</v>
      </c>
      <c r="C228" s="89" t="s">
        <v>378</v>
      </c>
      <c r="D228" s="229">
        <v>0</v>
      </c>
      <c r="E228" s="1039">
        <v>0</v>
      </c>
      <c r="F228" s="229">
        <v>0</v>
      </c>
      <c r="G228" s="229">
        <v>0</v>
      </c>
      <c r="H228" s="229">
        <v>0</v>
      </c>
      <c r="I228" s="160"/>
      <c r="K228" s="152"/>
      <c r="L228" s="152"/>
      <c r="M228" s="152"/>
    </row>
    <row r="229" spans="1:13" ht="12.75">
      <c r="A229" s="989" t="s">
        <v>665</v>
      </c>
      <c r="B229" s="990"/>
      <c r="C229" s="301" t="s">
        <v>375</v>
      </c>
      <c r="D229" s="1008">
        <f>SUM(D201,D211,D226)</f>
        <v>96300</v>
      </c>
      <c r="E229" s="1060">
        <f>SUM(E201,E211,E226)</f>
        <v>47435.130000000005</v>
      </c>
      <c r="F229" s="151">
        <f>F201+F211+F226</f>
        <v>92520</v>
      </c>
      <c r="G229" s="151">
        <f>G201+G211+G226</f>
        <v>90435</v>
      </c>
      <c r="H229" s="151">
        <f>H201+H211+H226</f>
        <v>0</v>
      </c>
      <c r="I229" s="969"/>
      <c r="K229" s="1014"/>
      <c r="L229" s="1061"/>
      <c r="M229" s="152"/>
    </row>
    <row r="230" spans="1:13" ht="12.75">
      <c r="A230" s="1009"/>
      <c r="B230" s="152"/>
      <c r="C230" s="282"/>
      <c r="D230" s="282"/>
      <c r="E230" s="1010"/>
      <c r="F230" s="1010"/>
      <c r="G230" s="1010"/>
      <c r="H230" s="1011"/>
      <c r="I230" s="191"/>
      <c r="J230" s="1062"/>
      <c r="K230" s="876"/>
      <c r="L230" s="876"/>
      <c r="M230" s="876"/>
    </row>
    <row r="231" spans="1:9" ht="12.75" hidden="1">
      <c r="A231" s="1009"/>
      <c r="B231" s="152"/>
      <c r="C231" s="282"/>
      <c r="D231" s="282"/>
      <c r="E231" s="1010"/>
      <c r="F231" s="1010"/>
      <c r="G231" s="1010"/>
      <c r="H231" s="1011"/>
      <c r="I231" s="287"/>
    </row>
    <row r="232" spans="1:9" ht="12.75" hidden="1">
      <c r="A232" s="1009"/>
      <c r="B232" s="152"/>
      <c r="C232" s="282"/>
      <c r="D232" s="282"/>
      <c r="E232" s="1010"/>
      <c r="F232" s="1010"/>
      <c r="G232" s="1010"/>
      <c r="H232" s="1011"/>
      <c r="I232" s="287"/>
    </row>
    <row r="233" spans="1:9" ht="12.75">
      <c r="A233" s="1009"/>
      <c r="B233" s="152"/>
      <c r="C233" s="282"/>
      <c r="D233" s="282"/>
      <c r="E233" s="1010"/>
      <c r="F233" s="1249" t="s">
        <v>666</v>
      </c>
      <c r="G233" s="1249"/>
      <c r="H233" s="1249"/>
      <c r="I233" s="287"/>
    </row>
    <row r="234" spans="1:13" ht="12.75">
      <c r="A234" s="1009"/>
      <c r="B234" s="152"/>
      <c r="C234" s="282"/>
      <c r="D234" s="282"/>
      <c r="E234" s="1010"/>
      <c r="F234" s="1010"/>
      <c r="G234" s="1010"/>
      <c r="H234" s="1011"/>
      <c r="I234" s="272"/>
      <c r="J234" s="272"/>
      <c r="K234" s="272"/>
      <c r="L234" s="272"/>
      <c r="M234" s="272"/>
    </row>
    <row r="235" spans="1:9" ht="12.75">
      <c r="A235" s="858" t="s">
        <v>498</v>
      </c>
      <c r="B235" s="859"/>
      <c r="C235" s="995"/>
      <c r="D235" s="246">
        <v>2014</v>
      </c>
      <c r="E235" s="861" t="s">
        <v>108</v>
      </c>
      <c r="F235" s="862" t="s">
        <v>109</v>
      </c>
      <c r="G235" s="981" t="s">
        <v>110</v>
      </c>
      <c r="H235" s="862"/>
      <c r="I235" s="287"/>
    </row>
    <row r="236" spans="1:13" s="1000" customFormat="1" ht="12">
      <c r="A236" s="869" t="s">
        <v>667</v>
      </c>
      <c r="B236" s="1045"/>
      <c r="C236" s="1045"/>
      <c r="D236" s="972">
        <f>D237+D238+D239+D240</f>
        <v>2334</v>
      </c>
      <c r="E236" s="1063">
        <f>E237+E238+E239+E240</f>
        <v>307.97</v>
      </c>
      <c r="F236" s="972">
        <f>F237+F238+F239+F240</f>
        <v>2100</v>
      </c>
      <c r="G236" s="972">
        <f>G237+G238+G239+G240</f>
        <v>2100</v>
      </c>
      <c r="H236" s="972">
        <f>H237+H238+H239+H240</f>
        <v>0</v>
      </c>
      <c r="I236" s="997"/>
      <c r="J236" s="998"/>
      <c r="K236" s="999"/>
      <c r="L236" s="865"/>
      <c r="M236" s="866"/>
    </row>
    <row r="237" spans="1:14" s="289" customFormat="1" ht="11.25">
      <c r="A237" s="100">
        <v>610.62</v>
      </c>
      <c r="B237" s="101"/>
      <c r="C237" s="986" t="s">
        <v>538</v>
      </c>
      <c r="D237" s="229">
        <v>0</v>
      </c>
      <c r="E237" s="1039">
        <v>0</v>
      </c>
      <c r="F237" s="229">
        <v>0</v>
      </c>
      <c r="G237" s="229">
        <v>0</v>
      </c>
      <c r="H237" s="229">
        <v>0</v>
      </c>
      <c r="I237" s="1013"/>
      <c r="J237" s="976"/>
      <c r="K237" s="876"/>
      <c r="L237" s="876"/>
      <c r="M237" s="876"/>
      <c r="N237" s="1064"/>
    </row>
    <row r="238" spans="1:14" s="58" customFormat="1" ht="12.75">
      <c r="A238" s="100">
        <v>632</v>
      </c>
      <c r="B238" s="101"/>
      <c r="C238" s="89" t="s">
        <v>246</v>
      </c>
      <c r="D238" s="229">
        <v>100</v>
      </c>
      <c r="E238" s="1039">
        <v>0</v>
      </c>
      <c r="F238" s="284">
        <v>0</v>
      </c>
      <c r="G238" s="229">
        <v>0</v>
      </c>
      <c r="H238" s="229">
        <v>0</v>
      </c>
      <c r="I238" s="160"/>
      <c r="K238" s="152"/>
      <c r="L238" s="152"/>
      <c r="M238" s="152"/>
      <c r="N238" s="54"/>
    </row>
    <row r="239" spans="1:14" s="87" customFormat="1" ht="12.75">
      <c r="A239" s="100">
        <v>637</v>
      </c>
      <c r="B239" s="101"/>
      <c r="C239" s="89" t="s">
        <v>579</v>
      </c>
      <c r="D239" s="229">
        <v>2000</v>
      </c>
      <c r="E239" s="1039">
        <v>247.86</v>
      </c>
      <c r="F239" s="284">
        <v>2000</v>
      </c>
      <c r="G239" s="229">
        <v>2000</v>
      </c>
      <c r="H239" s="229">
        <v>0</v>
      </c>
      <c r="I239" s="160"/>
      <c r="J239" s="58"/>
      <c r="K239" s="152"/>
      <c r="L239" s="152"/>
      <c r="M239" s="152"/>
      <c r="N239" s="54"/>
    </row>
    <row r="240" spans="1:13" ht="12.75">
      <c r="A240" s="100">
        <v>637</v>
      </c>
      <c r="B240" s="101" t="s">
        <v>586</v>
      </c>
      <c r="C240" s="89" t="s">
        <v>668</v>
      </c>
      <c r="D240" s="229">
        <v>234</v>
      </c>
      <c r="E240" s="1039">
        <v>60.11</v>
      </c>
      <c r="F240" s="229">
        <v>100</v>
      </c>
      <c r="G240" s="229">
        <v>100</v>
      </c>
      <c r="H240" s="229">
        <v>0</v>
      </c>
      <c r="I240" s="160"/>
      <c r="K240" s="160"/>
      <c r="L240" s="152"/>
      <c r="M240" s="1065"/>
    </row>
    <row r="241" spans="1:14" ht="12.75">
      <c r="A241" s="1043"/>
      <c r="B241" s="289"/>
      <c r="C241" s="1003"/>
      <c r="D241" s="853"/>
      <c r="F241" s="1066"/>
      <c r="G241" s="1066"/>
      <c r="H241" s="1067"/>
      <c r="I241" s="1068"/>
      <c r="J241" s="1069"/>
      <c r="K241" s="1068"/>
      <c r="L241" s="867"/>
      <c r="M241" s="152"/>
      <c r="N241" s="1016"/>
    </row>
    <row r="242" spans="1:9" ht="12.75">
      <c r="A242" s="869" t="s">
        <v>669</v>
      </c>
      <c r="B242" s="1045"/>
      <c r="C242" s="1045"/>
      <c r="D242" s="972">
        <f>SUM(D243,D244,D245,D246)</f>
        <v>15650</v>
      </c>
      <c r="E242" s="1063">
        <f>SUM(E243,E244,E245,E246)</f>
        <v>6232.660000000001</v>
      </c>
      <c r="F242" s="972">
        <f>SUM(F243,F244,F245,F246)</f>
        <v>15650</v>
      </c>
      <c r="G242" s="972">
        <f>SUM(G243,G244,G245,G246)</f>
        <v>12900</v>
      </c>
      <c r="H242" s="972">
        <f>SUM(H243,H244,H245,H246)</f>
        <v>0</v>
      </c>
      <c r="I242" s="161"/>
    </row>
    <row r="243" spans="1:13" s="289" customFormat="1" ht="11.25">
      <c r="A243" s="88">
        <v>632</v>
      </c>
      <c r="B243" s="101"/>
      <c r="C243" s="89" t="s">
        <v>246</v>
      </c>
      <c r="D243" s="229">
        <v>15000</v>
      </c>
      <c r="E243" s="1039">
        <v>6230.06</v>
      </c>
      <c r="F243" s="229">
        <v>15000</v>
      </c>
      <c r="G243" s="229">
        <v>12500</v>
      </c>
      <c r="H243" s="229">
        <v>0</v>
      </c>
      <c r="I243" s="1013"/>
      <c r="J243" s="976"/>
      <c r="K243" s="876"/>
      <c r="L243" s="876"/>
      <c r="M243" s="876"/>
    </row>
    <row r="244" spans="1:14" s="58" customFormat="1" ht="12.75">
      <c r="A244" s="88">
        <v>633</v>
      </c>
      <c r="B244" s="101"/>
      <c r="C244" s="89" t="s">
        <v>248</v>
      </c>
      <c r="D244" s="229">
        <v>150</v>
      </c>
      <c r="E244" s="1039">
        <v>2.6</v>
      </c>
      <c r="F244" s="229">
        <v>150</v>
      </c>
      <c r="G244" s="229">
        <v>150</v>
      </c>
      <c r="H244" s="229">
        <v>0</v>
      </c>
      <c r="I244" s="190"/>
      <c r="K244" s="160"/>
      <c r="L244" s="152"/>
      <c r="M244" s="160"/>
      <c r="N244" s="54"/>
    </row>
    <row r="245" spans="1:14" s="87" customFormat="1" ht="12.75">
      <c r="A245" s="88">
        <v>635</v>
      </c>
      <c r="B245" s="101"/>
      <c r="C245" s="89" t="s">
        <v>351</v>
      </c>
      <c r="D245" s="229">
        <v>500</v>
      </c>
      <c r="E245" s="1039">
        <v>0</v>
      </c>
      <c r="F245" s="229">
        <v>500</v>
      </c>
      <c r="G245" s="229">
        <v>250</v>
      </c>
      <c r="H245" s="229">
        <v>0</v>
      </c>
      <c r="I245" s="190"/>
      <c r="J245" s="58"/>
      <c r="K245" s="152"/>
      <c r="L245" s="152"/>
      <c r="M245" s="160"/>
      <c r="N245" s="54"/>
    </row>
    <row r="246" spans="1:13" ht="12.75">
      <c r="A246" s="178">
        <v>637</v>
      </c>
      <c r="B246" s="180"/>
      <c r="C246" s="143" t="s">
        <v>256</v>
      </c>
      <c r="D246" s="229">
        <v>0</v>
      </c>
      <c r="E246" s="1039">
        <v>0</v>
      </c>
      <c r="F246" s="229">
        <v>0</v>
      </c>
      <c r="G246" s="229">
        <v>0</v>
      </c>
      <c r="H246" s="229">
        <v>0</v>
      </c>
      <c r="I246" s="190"/>
      <c r="K246" s="152"/>
      <c r="L246" s="152"/>
      <c r="M246" s="160"/>
    </row>
    <row r="247" spans="1:13" ht="12.75">
      <c r="A247" s="989" t="s">
        <v>670</v>
      </c>
      <c r="B247" s="990"/>
      <c r="C247" s="301" t="s">
        <v>524</v>
      </c>
      <c r="D247" s="1008">
        <f>SUM(D236,D242)</f>
        <v>17984</v>
      </c>
      <c r="E247" s="253">
        <f>SUM(E236,E242)</f>
        <v>6540.630000000001</v>
      </c>
      <c r="F247" s="151">
        <f>F236+F242</f>
        <v>17750</v>
      </c>
      <c r="G247" s="151">
        <f>G236+G242</f>
        <v>15000</v>
      </c>
      <c r="H247" s="151">
        <f>H236+H242</f>
        <v>0</v>
      </c>
      <c r="I247" s="190"/>
      <c r="K247" s="160"/>
      <c r="L247" s="152"/>
      <c r="M247" s="160"/>
    </row>
    <row r="248" spans="1:13" ht="12.75">
      <c r="A248" s="1009"/>
      <c r="B248" s="152"/>
      <c r="C248" s="282"/>
      <c r="D248" s="282"/>
      <c r="E248" s="1010"/>
      <c r="F248" s="1010"/>
      <c r="G248" s="1010"/>
      <c r="H248" s="1011"/>
      <c r="I248" s="191"/>
      <c r="J248" s="976"/>
      <c r="K248" s="876"/>
      <c r="L248" s="876"/>
      <c r="M248" s="876"/>
    </row>
    <row r="249" spans="1:9" ht="12.75" hidden="1">
      <c r="A249" s="1070"/>
      <c r="B249" s="1070"/>
      <c r="C249" s="1070"/>
      <c r="D249" s="1070"/>
      <c r="E249" s="1071"/>
      <c r="F249" s="1071"/>
      <c r="G249" s="1071"/>
      <c r="H249" s="1071"/>
      <c r="I249" s="287"/>
    </row>
    <row r="250" spans="1:8" ht="12.75">
      <c r="A250" s="1070"/>
      <c r="B250" s="1070"/>
      <c r="C250" s="1070"/>
      <c r="D250" s="1070"/>
      <c r="E250" s="1071"/>
      <c r="F250" s="272"/>
      <c r="G250" s="1249" t="s">
        <v>671</v>
      </c>
      <c r="H250" s="1249"/>
    </row>
    <row r="251" spans="1:13" ht="12.75">
      <c r="A251" s="1070"/>
      <c r="B251" s="1070"/>
      <c r="C251" s="1070"/>
      <c r="D251" s="1070"/>
      <c r="E251" s="1071"/>
      <c r="F251" s="1071"/>
      <c r="G251" s="1071"/>
      <c r="H251" s="1071"/>
      <c r="I251" s="272"/>
      <c r="J251" s="272"/>
      <c r="K251" s="272"/>
      <c r="L251" s="272"/>
      <c r="M251" s="272"/>
    </row>
    <row r="252" spans="1:8" ht="12.75">
      <c r="A252" s="58"/>
      <c r="B252" s="58"/>
      <c r="C252" s="58"/>
      <c r="D252" s="58"/>
      <c r="E252" s="216"/>
      <c r="F252" s="1072"/>
      <c r="G252" s="1073"/>
      <c r="H252" s="1073"/>
    </row>
    <row r="253" spans="1:8" ht="12.75" hidden="1">
      <c r="A253" s="858" t="s">
        <v>498</v>
      </c>
      <c r="B253" s="859"/>
      <c r="C253" s="995"/>
      <c r="D253" s="246">
        <v>2013</v>
      </c>
      <c r="E253" s="861" t="s">
        <v>672</v>
      </c>
      <c r="F253" s="862" t="s">
        <v>109</v>
      </c>
      <c r="G253" s="863"/>
      <c r="H253" s="862"/>
    </row>
    <row r="254" spans="1:13" s="1000" customFormat="1" ht="12">
      <c r="A254" s="869" t="s">
        <v>673</v>
      </c>
      <c r="B254" s="1045"/>
      <c r="C254" s="1045"/>
      <c r="D254" s="972">
        <f>SUM(D255,D256,D257,D258,D259,D260)</f>
        <v>18500</v>
      </c>
      <c r="E254" s="1063">
        <f>SUM(E255,E256,E257,E258,E259,E260)</f>
        <v>16274.17</v>
      </c>
      <c r="F254" s="972">
        <f>SUM(F255,F256,F257,F258,F259,F260)</f>
        <v>24550</v>
      </c>
      <c r="G254" s="972">
        <f>SUM(G255,G256,G257,G258,G259,G260)</f>
        <v>30980</v>
      </c>
      <c r="H254" s="972">
        <f>SUM(H255,H256,H257,H258,H259,H260)</f>
        <v>0</v>
      </c>
      <c r="I254" s="997"/>
      <c r="J254" s="998"/>
      <c r="K254" s="999"/>
      <c r="L254" s="865"/>
      <c r="M254" s="866"/>
    </row>
    <row r="255" spans="1:14" s="1003" customFormat="1" ht="11.25">
      <c r="A255" s="88">
        <v>610</v>
      </c>
      <c r="B255" s="101"/>
      <c r="C255" s="89" t="s">
        <v>674</v>
      </c>
      <c r="D255" s="229">
        <v>3000</v>
      </c>
      <c r="E255" s="1039">
        <v>456.39</v>
      </c>
      <c r="F255" s="229">
        <v>1000</v>
      </c>
      <c r="G255" s="229">
        <v>3450</v>
      </c>
      <c r="H255" s="229">
        <v>0</v>
      </c>
      <c r="I255" s="1013"/>
      <c r="J255" s="976"/>
      <c r="K255" s="876"/>
      <c r="L255" s="876"/>
      <c r="M255" s="876"/>
      <c r="N255" s="289"/>
    </row>
    <row r="256" spans="1:14" s="58" customFormat="1" ht="12.75">
      <c r="A256" s="88">
        <v>620</v>
      </c>
      <c r="B256" s="101"/>
      <c r="C256" s="89" t="s">
        <v>242</v>
      </c>
      <c r="D256" s="229">
        <v>1500</v>
      </c>
      <c r="E256" s="1039">
        <v>162.47</v>
      </c>
      <c r="F256" s="229">
        <v>400</v>
      </c>
      <c r="G256" s="229">
        <v>1050</v>
      </c>
      <c r="H256" s="229">
        <v>0</v>
      </c>
      <c r="I256" s="160"/>
      <c r="K256" s="160"/>
      <c r="L256" s="152"/>
      <c r="M256" s="152"/>
      <c r="N256" s="54"/>
    </row>
    <row r="257" spans="1:14" s="87" customFormat="1" ht="12.75">
      <c r="A257" s="88">
        <v>632</v>
      </c>
      <c r="B257" s="101"/>
      <c r="C257" s="89" t="s">
        <v>246</v>
      </c>
      <c r="D257" s="229">
        <v>13000</v>
      </c>
      <c r="E257" s="1039">
        <v>7996.18</v>
      </c>
      <c r="F257" s="284">
        <v>15000</v>
      </c>
      <c r="G257" s="229">
        <v>16300</v>
      </c>
      <c r="H257" s="229">
        <v>0</v>
      </c>
      <c r="I257" s="160"/>
      <c r="J257" s="58"/>
      <c r="K257" s="152"/>
      <c r="L257" s="152"/>
      <c r="M257" s="152"/>
      <c r="N257" s="54"/>
    </row>
    <row r="258" spans="1:13" ht="12.75">
      <c r="A258" s="88">
        <v>633</v>
      </c>
      <c r="B258" s="101"/>
      <c r="C258" s="89" t="s">
        <v>248</v>
      </c>
      <c r="D258" s="229">
        <v>100</v>
      </c>
      <c r="E258" s="1039">
        <v>378.3</v>
      </c>
      <c r="F258" s="229">
        <v>500</v>
      </c>
      <c r="G258" s="229">
        <v>500</v>
      </c>
      <c r="H258" s="229">
        <v>0</v>
      </c>
      <c r="I258" s="160"/>
      <c r="K258" s="160"/>
      <c r="L258" s="152"/>
      <c r="M258" s="160"/>
    </row>
    <row r="259" spans="1:13" ht="12.75">
      <c r="A259" s="178">
        <v>635</v>
      </c>
      <c r="B259" s="180"/>
      <c r="C259" s="143" t="s">
        <v>351</v>
      </c>
      <c r="D259" s="229">
        <v>500</v>
      </c>
      <c r="E259" s="1039">
        <v>3630.83</v>
      </c>
      <c r="F259" s="229">
        <v>4000</v>
      </c>
      <c r="G259" s="229">
        <v>6000</v>
      </c>
      <c r="H259" s="229">
        <v>0</v>
      </c>
      <c r="I259" s="160"/>
      <c r="K259" s="152"/>
      <c r="L259" s="152"/>
      <c r="M259" s="152"/>
    </row>
    <row r="260" spans="1:13" ht="12.75">
      <c r="A260" s="88">
        <v>637</v>
      </c>
      <c r="B260" s="101"/>
      <c r="C260" s="89" t="s">
        <v>256</v>
      </c>
      <c r="D260" s="229">
        <v>400</v>
      </c>
      <c r="E260" s="1039">
        <v>3650</v>
      </c>
      <c r="F260" s="284">
        <v>3650</v>
      </c>
      <c r="G260" s="229">
        <v>3680</v>
      </c>
      <c r="H260" s="229">
        <v>0</v>
      </c>
      <c r="I260" s="160"/>
      <c r="K260" s="152"/>
      <c r="L260" s="152"/>
      <c r="M260" s="152"/>
    </row>
    <row r="261" spans="1:13" ht="12.75">
      <c r="A261" s="989" t="s">
        <v>675</v>
      </c>
      <c r="B261" s="990"/>
      <c r="C261" s="301" t="s">
        <v>676</v>
      </c>
      <c r="D261" s="1008">
        <f>SUM(D254)</f>
        <v>18500</v>
      </c>
      <c r="E261" s="253">
        <f>SUM(E254)</f>
        <v>16274.17</v>
      </c>
      <c r="F261" s="253">
        <f>SUM(F254)</f>
        <v>24550</v>
      </c>
      <c r="G261" s="253">
        <f>SUM(G254)</f>
        <v>30980</v>
      </c>
      <c r="H261" s="253">
        <f>SUM(H254)</f>
        <v>0</v>
      </c>
      <c r="I261" s="160"/>
      <c r="K261" s="152"/>
      <c r="L261" s="152"/>
      <c r="M261" s="152"/>
    </row>
    <row r="262" spans="1:13" ht="12.75">
      <c r="A262" s="1009"/>
      <c r="B262" s="152"/>
      <c r="C262" s="282"/>
      <c r="D262" s="282"/>
      <c r="E262" s="1010"/>
      <c r="F262" s="1010"/>
      <c r="G262" s="1010"/>
      <c r="H262" s="1011"/>
      <c r="I262" s="191"/>
      <c r="J262" s="976"/>
      <c r="K262" s="876"/>
      <c r="L262" s="876"/>
      <c r="M262" s="876"/>
    </row>
    <row r="263" spans="1:9" ht="12.75">
      <c r="A263" s="1009"/>
      <c r="B263" s="152"/>
      <c r="C263" s="282"/>
      <c r="D263" s="282"/>
      <c r="E263" s="1010"/>
      <c r="F263" s="1010"/>
      <c r="G263" s="1010"/>
      <c r="H263" s="1011"/>
      <c r="I263" s="287"/>
    </row>
    <row r="264" spans="1:9" ht="12.75" hidden="1">
      <c r="A264" s="1009"/>
      <c r="B264" s="152"/>
      <c r="C264" s="282"/>
      <c r="D264" s="282"/>
      <c r="E264" s="1010"/>
      <c r="F264" s="1010"/>
      <c r="G264" s="1010"/>
      <c r="H264" s="1011"/>
      <c r="I264" s="287"/>
    </row>
    <row r="265" spans="1:9" ht="12.75" hidden="1">
      <c r="A265" s="1009"/>
      <c r="B265" s="152"/>
      <c r="C265" s="282"/>
      <c r="D265" s="282"/>
      <c r="E265" s="1010"/>
      <c r="F265" s="1010"/>
      <c r="G265" s="1010"/>
      <c r="H265" s="1011"/>
      <c r="I265" s="287"/>
    </row>
    <row r="266" spans="1:9" ht="12.75" hidden="1">
      <c r="A266" s="1009"/>
      <c r="B266" s="152"/>
      <c r="C266" s="282"/>
      <c r="D266" s="282"/>
      <c r="E266" s="1010"/>
      <c r="F266" s="1010"/>
      <c r="G266" s="1010"/>
      <c r="H266" s="1011"/>
      <c r="I266" s="287"/>
    </row>
    <row r="267" spans="1:9" ht="12.75">
      <c r="A267" s="1009"/>
      <c r="B267" s="152"/>
      <c r="C267" s="282"/>
      <c r="D267" s="282"/>
      <c r="E267" s="1285" t="s">
        <v>677</v>
      </c>
      <c r="F267" s="1285"/>
      <c r="G267" s="1285"/>
      <c r="H267" s="1285"/>
      <c r="I267" s="287"/>
    </row>
    <row r="268" spans="1:13" ht="12.75">
      <c r="A268" s="1009"/>
      <c r="B268" s="152"/>
      <c r="C268" s="282"/>
      <c r="D268" s="282"/>
      <c r="E268" s="1010"/>
      <c r="F268" s="1010"/>
      <c r="G268" s="1010"/>
      <c r="H268" s="1011"/>
      <c r="I268" s="1028"/>
      <c r="J268" s="1028"/>
      <c r="K268" s="1028"/>
      <c r="L268" s="1028"/>
      <c r="M268" s="1028"/>
    </row>
    <row r="269" spans="1:9" ht="12.75">
      <c r="A269" s="858" t="s">
        <v>498</v>
      </c>
      <c r="B269" s="859"/>
      <c r="C269" s="995"/>
      <c r="D269" s="246">
        <v>2014</v>
      </c>
      <c r="E269" s="861" t="s">
        <v>108</v>
      </c>
      <c r="F269" s="862" t="s">
        <v>109</v>
      </c>
      <c r="G269" s="981" t="s">
        <v>110</v>
      </c>
      <c r="H269" s="862"/>
      <c r="I269" s="287"/>
    </row>
    <row r="270" spans="1:13" s="1000" customFormat="1" ht="12">
      <c r="A270" s="869" t="s">
        <v>678</v>
      </c>
      <c r="B270" s="1045"/>
      <c r="C270" s="1045"/>
      <c r="D270" s="972">
        <f>SUM(D271,D272,D273,D274,D275,D277)</f>
        <v>23300</v>
      </c>
      <c r="E270" s="1063">
        <f>SUM(E271,E272,E273,E274,E275,E277)</f>
        <v>11790.41</v>
      </c>
      <c r="F270" s="972">
        <f>SUM(F271,F272,F273,F274,F275,F277)</f>
        <v>26000</v>
      </c>
      <c r="G270" s="972">
        <f>SUM(G271,G272,G273,G274,G275,G277+G276)</f>
        <v>27450</v>
      </c>
      <c r="H270" s="972">
        <f>SUM(H271,H272,H273,H274,H275,H277)</f>
        <v>0</v>
      </c>
      <c r="I270" s="997"/>
      <c r="J270" s="998"/>
      <c r="K270" s="999"/>
      <c r="L270" s="865"/>
      <c r="M270" s="866"/>
    </row>
    <row r="271" spans="1:13" s="289" customFormat="1" ht="11.25">
      <c r="A271" s="1074">
        <v>632</v>
      </c>
      <c r="B271" s="1075"/>
      <c r="C271" s="1076" t="s">
        <v>246</v>
      </c>
      <c r="D271" s="229">
        <v>10000</v>
      </c>
      <c r="E271" s="1039">
        <v>2413.54</v>
      </c>
      <c r="F271" s="284">
        <v>10000</v>
      </c>
      <c r="G271" s="229">
        <v>6500</v>
      </c>
      <c r="H271" s="229">
        <v>0</v>
      </c>
      <c r="I271" s="1013"/>
      <c r="J271" s="976"/>
      <c r="K271" s="876"/>
      <c r="L271" s="876"/>
      <c r="M271" s="876"/>
    </row>
    <row r="272" spans="1:14" s="58" customFormat="1" ht="12.75">
      <c r="A272" s="1074">
        <v>633</v>
      </c>
      <c r="B272" s="1075"/>
      <c r="C272" s="1076" t="s">
        <v>248</v>
      </c>
      <c r="D272" s="229">
        <v>500</v>
      </c>
      <c r="E272" s="1039">
        <v>3445.09</v>
      </c>
      <c r="F272" s="284">
        <v>3500</v>
      </c>
      <c r="G272" s="229">
        <v>5400</v>
      </c>
      <c r="H272" s="229">
        <v>0</v>
      </c>
      <c r="I272" s="160"/>
      <c r="K272" s="160"/>
      <c r="L272" s="152"/>
      <c r="M272" s="160"/>
      <c r="N272" s="54"/>
    </row>
    <row r="273" spans="1:14" s="87" customFormat="1" ht="12.75">
      <c r="A273" s="1074">
        <v>634</v>
      </c>
      <c r="B273" s="1075"/>
      <c r="C273" s="1076" t="s">
        <v>679</v>
      </c>
      <c r="D273" s="229">
        <v>6100</v>
      </c>
      <c r="E273" s="1039">
        <v>2518.56</v>
      </c>
      <c r="F273" s="229">
        <v>6100</v>
      </c>
      <c r="G273" s="229">
        <v>6900</v>
      </c>
      <c r="H273" s="229">
        <v>0</v>
      </c>
      <c r="I273" s="160"/>
      <c r="J273" s="58"/>
      <c r="K273" s="152"/>
      <c r="L273" s="152"/>
      <c r="M273" s="160"/>
      <c r="N273" s="54"/>
    </row>
    <row r="274" spans="1:13" ht="12.75">
      <c r="A274" s="1074">
        <v>635</v>
      </c>
      <c r="B274" s="1075"/>
      <c r="C274" s="1076" t="s">
        <v>351</v>
      </c>
      <c r="D274" s="229">
        <v>500</v>
      </c>
      <c r="E274" s="1039">
        <v>339.8</v>
      </c>
      <c r="F274" s="229">
        <v>500</v>
      </c>
      <c r="G274" s="229">
        <v>350</v>
      </c>
      <c r="H274" s="229">
        <v>0</v>
      </c>
      <c r="I274" s="160"/>
      <c r="K274" s="160"/>
      <c r="L274" s="152"/>
      <c r="M274" s="160"/>
    </row>
    <row r="275" spans="1:13" ht="12.75">
      <c r="A275" s="1074">
        <v>637</v>
      </c>
      <c r="B275" s="1075"/>
      <c r="C275" s="1076" t="s">
        <v>256</v>
      </c>
      <c r="D275" s="229">
        <v>300</v>
      </c>
      <c r="E275" s="1039">
        <v>0</v>
      </c>
      <c r="F275" s="229">
        <v>0</v>
      </c>
      <c r="G275" s="229">
        <v>0</v>
      </c>
      <c r="H275" s="229">
        <v>0</v>
      </c>
      <c r="I275" s="160"/>
      <c r="K275" s="152"/>
      <c r="L275" s="152"/>
      <c r="M275" s="160"/>
    </row>
    <row r="276" spans="1:13" ht="12.75">
      <c r="A276" s="1074">
        <v>637</v>
      </c>
      <c r="B276" s="1075"/>
      <c r="C276" s="1076" t="s">
        <v>680</v>
      </c>
      <c r="D276" s="229"/>
      <c r="E276" s="1039"/>
      <c r="F276" s="229"/>
      <c r="G276" s="1020">
        <v>1500</v>
      </c>
      <c r="H276" s="229"/>
      <c r="I276" s="160"/>
      <c r="K276" s="152"/>
      <c r="L276" s="152"/>
      <c r="M276" s="160"/>
    </row>
    <row r="277" spans="1:13" ht="12.75">
      <c r="A277" s="1074">
        <v>642</v>
      </c>
      <c r="B277" s="1075"/>
      <c r="C277" s="1076" t="s">
        <v>681</v>
      </c>
      <c r="D277" s="229">
        <f>D278+D279+D280</f>
        <v>5900</v>
      </c>
      <c r="E277" s="1039">
        <f>SUM(E278,E279,E280)</f>
        <v>3073.42</v>
      </c>
      <c r="F277" s="229">
        <f>F278+F279+F280</f>
        <v>5900</v>
      </c>
      <c r="G277" s="229">
        <f>G278+G279+G280</f>
        <v>6800</v>
      </c>
      <c r="H277" s="229">
        <f>H278+H279+H280</f>
        <v>0</v>
      </c>
      <c r="I277" s="160"/>
      <c r="K277" s="152"/>
      <c r="L277" s="152"/>
      <c r="M277" s="160"/>
    </row>
    <row r="278" spans="1:13" ht="12.75">
      <c r="A278" s="1074"/>
      <c r="B278" s="1075"/>
      <c r="C278" s="89" t="s">
        <v>682</v>
      </c>
      <c r="D278" s="119">
        <v>5100</v>
      </c>
      <c r="E278" s="1077">
        <v>3073.42</v>
      </c>
      <c r="F278" s="119">
        <v>5100</v>
      </c>
      <c r="G278" s="119">
        <v>6000</v>
      </c>
      <c r="H278" s="119">
        <v>0</v>
      </c>
      <c r="I278" s="160"/>
      <c r="K278" s="160"/>
      <c r="L278" s="152"/>
      <c r="M278" s="160"/>
    </row>
    <row r="279" spans="1:13" ht="12.75">
      <c r="A279" s="1074"/>
      <c r="B279" s="1075"/>
      <c r="C279" s="89" t="s">
        <v>683</v>
      </c>
      <c r="D279" s="119">
        <v>400</v>
      </c>
      <c r="E279" s="1077">
        <v>0</v>
      </c>
      <c r="F279" s="119">
        <v>400</v>
      </c>
      <c r="G279" s="119">
        <v>400</v>
      </c>
      <c r="H279" s="119">
        <v>0</v>
      </c>
      <c r="I279" s="160"/>
      <c r="K279" s="160"/>
      <c r="L279" s="152"/>
      <c r="M279" s="160"/>
    </row>
    <row r="280" spans="1:13" ht="12.75">
      <c r="A280" s="1074"/>
      <c r="B280" s="1075"/>
      <c r="C280" s="89" t="s">
        <v>684</v>
      </c>
      <c r="D280" s="119">
        <v>400</v>
      </c>
      <c r="E280" s="1077">
        <v>0</v>
      </c>
      <c r="F280" s="119">
        <v>400</v>
      </c>
      <c r="G280" s="1078">
        <v>400</v>
      </c>
      <c r="H280" s="119">
        <v>0</v>
      </c>
      <c r="I280" s="160"/>
      <c r="K280" s="160"/>
      <c r="L280" s="152"/>
      <c r="M280" s="160"/>
    </row>
    <row r="281" spans="1:13" ht="12.75">
      <c r="A281" s="1032"/>
      <c r="B281" s="289"/>
      <c r="C281" s="1003"/>
      <c r="D281" s="853"/>
      <c r="G281" s="1066"/>
      <c r="H281" s="1067"/>
      <c r="I281" s="160"/>
      <c r="K281" s="160"/>
      <c r="L281" s="152"/>
      <c r="M281" s="160"/>
    </row>
    <row r="282" spans="1:9" ht="12.75">
      <c r="A282" s="869" t="s">
        <v>685</v>
      </c>
      <c r="B282" s="1045"/>
      <c r="C282" s="1045"/>
      <c r="D282" s="1079">
        <f>SUM(D283,D284,D285,D302)</f>
        <v>39800</v>
      </c>
      <c r="E282" s="1080">
        <f>SUM(E283,E284,E285,E302)</f>
        <v>15402.25</v>
      </c>
      <c r="F282" s="1079">
        <f>SUM(F283,F284,F285,F302)</f>
        <v>33400</v>
      </c>
      <c r="G282" s="1079">
        <f>SUM(G283,G284,G285,G302)</f>
        <v>40520</v>
      </c>
      <c r="H282" s="1079">
        <f>SUM(H283,H284,H285,H302)</f>
        <v>0</v>
      </c>
      <c r="I282" s="161"/>
    </row>
    <row r="283" spans="1:14" s="289" customFormat="1" ht="12.75" customHeight="1">
      <c r="A283" s="1081">
        <v>610</v>
      </c>
      <c r="B283" s="1082"/>
      <c r="C283" s="1083" t="s">
        <v>538</v>
      </c>
      <c r="D283" s="229">
        <v>14500</v>
      </c>
      <c r="E283" s="1039">
        <v>8030.54</v>
      </c>
      <c r="F283" s="229">
        <v>14500</v>
      </c>
      <c r="G283" s="229">
        <v>14500</v>
      </c>
      <c r="H283" s="229">
        <v>0</v>
      </c>
      <c r="I283" s="1013"/>
      <c r="J283" s="158"/>
      <c r="K283" s="191"/>
      <c r="L283" s="191"/>
      <c r="M283" s="191"/>
      <c r="N283" s="877"/>
    </row>
    <row r="284" spans="1:13" ht="12.75" customHeight="1">
      <c r="A284" s="1081">
        <v>620</v>
      </c>
      <c r="B284" s="1075"/>
      <c r="C284" s="1075" t="s">
        <v>242</v>
      </c>
      <c r="D284" s="229">
        <v>4500</v>
      </c>
      <c r="E284" s="1039">
        <v>2921.54</v>
      </c>
      <c r="F284" s="229">
        <v>4500</v>
      </c>
      <c r="G284" s="229">
        <v>5145</v>
      </c>
      <c r="H284" s="229">
        <v>0</v>
      </c>
      <c r="I284" s="190"/>
      <c r="J284" s="191"/>
      <c r="K284" s="190"/>
      <c r="L284" s="190"/>
      <c r="M284" s="190"/>
    </row>
    <row r="285" spans="1:14" s="87" customFormat="1" ht="12.75">
      <c r="A285" s="1084">
        <v>630</v>
      </c>
      <c r="B285" s="1076"/>
      <c r="C285" s="1076" t="s">
        <v>421</v>
      </c>
      <c r="D285" s="229">
        <f>SUM(D286,D287,D288,D289,D291,D293,D300,D294,D296,D297,D299)</f>
        <v>20800</v>
      </c>
      <c r="E285" s="1039">
        <f>SUM(E286,E287,E288,E289,E291,E293,E300,E294,E296,E297,E298,E299)</f>
        <v>4450.17</v>
      </c>
      <c r="F285" s="229">
        <f>SUM(F286,F287,F288,F289,F290,F291,F293,F300,F294,F296,F297,F298,F299)</f>
        <v>14400</v>
      </c>
      <c r="G285" s="229">
        <f>SUM(G286,G287,G289,G291,G293,G300,G294,G296,G297,G299)+G292+G301+G288</f>
        <v>20875</v>
      </c>
      <c r="H285" s="229">
        <f>SUM(H286,H287,H289,H291,H293,H300,H294,H296,H297,H299)</f>
        <v>0</v>
      </c>
      <c r="I285" s="190"/>
      <c r="J285" s="191"/>
      <c r="K285" s="190"/>
      <c r="L285" s="190"/>
      <c r="M285" s="190"/>
      <c r="N285" s="54"/>
    </row>
    <row r="286" spans="1:13" ht="12.75" customHeight="1">
      <c r="A286" s="88" t="s">
        <v>541</v>
      </c>
      <c r="B286" s="89"/>
      <c r="C286" s="89" t="s">
        <v>244</v>
      </c>
      <c r="D286" s="119">
        <v>0</v>
      </c>
      <c r="E286" s="1077">
        <v>0</v>
      </c>
      <c r="F286" s="119">
        <v>0</v>
      </c>
      <c r="G286" s="119">
        <v>0</v>
      </c>
      <c r="H286" s="119">
        <v>0</v>
      </c>
      <c r="I286" s="190"/>
      <c r="J286" s="208"/>
      <c r="K286" s="160"/>
      <c r="L286" s="160"/>
      <c r="M286" s="160"/>
    </row>
    <row r="287" spans="1:13" ht="12.75">
      <c r="A287" s="88">
        <v>632</v>
      </c>
      <c r="B287" s="89"/>
      <c r="C287" s="89" t="s">
        <v>542</v>
      </c>
      <c r="D287" s="119">
        <v>10000</v>
      </c>
      <c r="E287" s="1077">
        <v>3398.41</v>
      </c>
      <c r="F287" s="951">
        <v>8000</v>
      </c>
      <c r="G287" s="119">
        <v>8100</v>
      </c>
      <c r="H287" s="119">
        <v>0</v>
      </c>
      <c r="I287" s="969"/>
      <c r="K287" s="1014"/>
      <c r="L287" s="952"/>
      <c r="M287" s="969"/>
    </row>
    <row r="288" spans="1:13" ht="12.75">
      <c r="A288" s="209">
        <v>633</v>
      </c>
      <c r="B288" s="89" t="s">
        <v>133</v>
      </c>
      <c r="C288" s="89" t="s">
        <v>686</v>
      </c>
      <c r="D288" s="119">
        <v>200</v>
      </c>
      <c r="E288" s="1077">
        <v>219</v>
      </c>
      <c r="F288" s="951">
        <v>300</v>
      </c>
      <c r="G288" s="119">
        <v>300</v>
      </c>
      <c r="H288" s="119"/>
      <c r="I288" s="969"/>
      <c r="K288" s="1014"/>
      <c r="L288" s="952"/>
      <c r="M288" s="969"/>
    </row>
    <row r="289" spans="1:13" ht="12.75">
      <c r="A289" s="100">
        <v>633</v>
      </c>
      <c r="B289" s="101"/>
      <c r="C289" s="101" t="s">
        <v>248</v>
      </c>
      <c r="D289" s="119">
        <v>800</v>
      </c>
      <c r="E289" s="1077">
        <v>122.89</v>
      </c>
      <c r="F289" s="951">
        <v>500</v>
      </c>
      <c r="G289" s="119">
        <v>1950</v>
      </c>
      <c r="H289" s="119">
        <v>0</v>
      </c>
      <c r="I289" s="969"/>
      <c r="K289" s="969"/>
      <c r="L289" s="952"/>
      <c r="M289" s="969"/>
    </row>
    <row r="290" spans="1:13" ht="12.75">
      <c r="A290" s="883">
        <v>633</v>
      </c>
      <c r="B290" s="931" t="s">
        <v>150</v>
      </c>
      <c r="C290" s="931" t="s">
        <v>687</v>
      </c>
      <c r="D290" s="953">
        <v>0</v>
      </c>
      <c r="E290" s="955">
        <v>0</v>
      </c>
      <c r="F290" s="915">
        <v>0</v>
      </c>
      <c r="G290" s="953">
        <v>0</v>
      </c>
      <c r="H290" s="953">
        <v>0</v>
      </c>
      <c r="I290" s="969"/>
      <c r="K290" s="969"/>
      <c r="L290" s="952"/>
      <c r="M290" s="969"/>
    </row>
    <row r="291" spans="1:13" ht="12.75">
      <c r="A291" s="100">
        <v>633</v>
      </c>
      <c r="B291" s="101" t="s">
        <v>558</v>
      </c>
      <c r="C291" s="101" t="s">
        <v>415</v>
      </c>
      <c r="D291" s="119">
        <v>500</v>
      </c>
      <c r="E291" s="1077">
        <v>465.96</v>
      </c>
      <c r="F291" s="951">
        <v>500</v>
      </c>
      <c r="G291" s="119">
        <v>800</v>
      </c>
      <c r="H291" s="119">
        <v>0</v>
      </c>
      <c r="I291" s="988"/>
      <c r="K291" s="1041"/>
      <c r="L291" s="867"/>
      <c r="M291" s="988"/>
    </row>
    <row r="292" spans="1:13" ht="12.75">
      <c r="A292" s="100">
        <v>633</v>
      </c>
      <c r="B292" s="101" t="s">
        <v>558</v>
      </c>
      <c r="C292" s="101" t="s">
        <v>688</v>
      </c>
      <c r="D292" s="119">
        <v>0</v>
      </c>
      <c r="E292" s="1077">
        <v>0</v>
      </c>
      <c r="F292" s="951">
        <v>0</v>
      </c>
      <c r="G292" s="119">
        <v>1500</v>
      </c>
      <c r="H292" s="119">
        <v>0</v>
      </c>
      <c r="I292" s="988"/>
      <c r="K292" s="1041"/>
      <c r="L292" s="867"/>
      <c r="M292" s="988"/>
    </row>
    <row r="293" spans="1:13" ht="12.75">
      <c r="A293" s="100">
        <v>642</v>
      </c>
      <c r="B293" s="1085"/>
      <c r="C293" s="1086" t="s">
        <v>689</v>
      </c>
      <c r="D293" s="119">
        <v>3000</v>
      </c>
      <c r="E293" s="1077">
        <v>0</v>
      </c>
      <c r="F293" s="951">
        <v>1000</v>
      </c>
      <c r="G293" s="1078">
        <v>1000</v>
      </c>
      <c r="H293" s="119">
        <v>0</v>
      </c>
      <c r="I293" s="969"/>
      <c r="K293" s="1014"/>
      <c r="L293" s="952"/>
      <c r="M293" s="969"/>
    </row>
    <row r="294" spans="1:13" ht="12.75">
      <c r="A294" s="100">
        <v>634</v>
      </c>
      <c r="B294" s="101"/>
      <c r="C294" s="101" t="s">
        <v>250</v>
      </c>
      <c r="D294" s="119">
        <v>700</v>
      </c>
      <c r="E294" s="1077">
        <v>25.31</v>
      </c>
      <c r="F294" s="951">
        <v>700</v>
      </c>
      <c r="G294" s="119">
        <v>700</v>
      </c>
      <c r="H294" s="119">
        <v>0</v>
      </c>
      <c r="I294" s="969"/>
      <c r="K294" s="1014"/>
      <c r="L294" s="952"/>
      <c r="M294" s="969"/>
    </row>
    <row r="295" spans="1:13" ht="12.75">
      <c r="A295" s="100">
        <v>634</v>
      </c>
      <c r="B295" s="101" t="s">
        <v>133</v>
      </c>
      <c r="C295" s="101" t="s">
        <v>690</v>
      </c>
      <c r="D295" s="140">
        <v>500</v>
      </c>
      <c r="E295" s="1087">
        <v>0</v>
      </c>
      <c r="F295" s="111">
        <v>500</v>
      </c>
      <c r="G295" s="140">
        <v>0</v>
      </c>
      <c r="H295" s="140">
        <v>0</v>
      </c>
      <c r="I295" s="969"/>
      <c r="K295" s="1014"/>
      <c r="L295" s="952"/>
      <c r="M295" s="969"/>
    </row>
    <row r="296" spans="1:13" ht="12.75">
      <c r="A296" s="100">
        <v>635</v>
      </c>
      <c r="B296" s="101"/>
      <c r="C296" s="101" t="s">
        <v>351</v>
      </c>
      <c r="D296" s="119">
        <v>2500</v>
      </c>
      <c r="E296" s="1077">
        <v>12.6</v>
      </c>
      <c r="F296" s="951">
        <v>500</v>
      </c>
      <c r="G296" s="119">
        <v>500</v>
      </c>
      <c r="H296" s="119">
        <v>0</v>
      </c>
      <c r="I296" s="969"/>
      <c r="K296" s="1014"/>
      <c r="L296" s="952"/>
      <c r="M296" s="969"/>
    </row>
    <row r="297" spans="1:14" ht="12.75">
      <c r="A297" s="883">
        <v>636</v>
      </c>
      <c r="B297" s="931" t="s">
        <v>117</v>
      </c>
      <c r="C297" s="931" t="s">
        <v>691</v>
      </c>
      <c r="D297" s="119">
        <v>0</v>
      </c>
      <c r="E297" s="1077">
        <v>0</v>
      </c>
      <c r="F297" s="951">
        <v>0</v>
      </c>
      <c r="G297" s="119">
        <v>0</v>
      </c>
      <c r="H297" s="119">
        <v>0</v>
      </c>
      <c r="I297" s="969"/>
      <c r="K297" s="1014"/>
      <c r="L297" s="952"/>
      <c r="M297" s="969"/>
      <c r="N297" s="932"/>
    </row>
    <row r="298" spans="1:13" ht="12.75">
      <c r="A298" s="1088">
        <v>637</v>
      </c>
      <c r="B298" s="1089"/>
      <c r="C298" s="1089" t="s">
        <v>256</v>
      </c>
      <c r="D298" s="953">
        <v>0</v>
      </c>
      <c r="E298" s="955">
        <v>0</v>
      </c>
      <c r="F298" s="915">
        <v>0</v>
      </c>
      <c r="G298" s="953">
        <v>0</v>
      </c>
      <c r="H298" s="953">
        <v>0</v>
      </c>
      <c r="I298" s="988"/>
      <c r="K298" s="1041"/>
      <c r="L298" s="867"/>
      <c r="M298" s="969"/>
    </row>
    <row r="299" spans="1:13" ht="12.75">
      <c r="A299" s="100">
        <v>637</v>
      </c>
      <c r="B299" s="101"/>
      <c r="C299" s="101" t="s">
        <v>256</v>
      </c>
      <c r="D299" s="119">
        <v>1100</v>
      </c>
      <c r="E299" s="1077">
        <v>206</v>
      </c>
      <c r="F299" s="951">
        <v>900</v>
      </c>
      <c r="G299" s="119">
        <v>750</v>
      </c>
      <c r="H299" s="119">
        <v>0</v>
      </c>
      <c r="I299" s="988"/>
      <c r="K299" s="1041"/>
      <c r="L299" s="867"/>
      <c r="M299" s="969"/>
    </row>
    <row r="300" spans="1:13" ht="12.75">
      <c r="A300" s="100">
        <v>637</v>
      </c>
      <c r="B300" s="101" t="s">
        <v>133</v>
      </c>
      <c r="C300" s="101" t="s">
        <v>692</v>
      </c>
      <c r="D300" s="119">
        <v>2000</v>
      </c>
      <c r="E300" s="1077">
        <v>0</v>
      </c>
      <c r="F300" s="951">
        <v>2000</v>
      </c>
      <c r="G300" s="1078">
        <v>5000</v>
      </c>
      <c r="H300" s="119">
        <v>0</v>
      </c>
      <c r="I300" s="969"/>
      <c r="K300" s="1014"/>
      <c r="L300" s="952"/>
      <c r="M300" s="969"/>
    </row>
    <row r="301" spans="1:13" ht="12.75">
      <c r="A301" s="941">
        <v>637</v>
      </c>
      <c r="B301" s="942"/>
      <c r="C301" s="942" t="s">
        <v>693</v>
      </c>
      <c r="D301" s="119"/>
      <c r="E301" s="1077"/>
      <c r="F301" s="951"/>
      <c r="G301" s="119">
        <v>275</v>
      </c>
      <c r="H301" s="119"/>
      <c r="I301" s="969"/>
      <c r="K301" s="1014"/>
      <c r="L301" s="952"/>
      <c r="M301" s="969"/>
    </row>
    <row r="302" spans="1:13" ht="12.75">
      <c r="A302" s="941">
        <v>642</v>
      </c>
      <c r="B302" s="942" t="s">
        <v>123</v>
      </c>
      <c r="C302" s="942" t="s">
        <v>694</v>
      </c>
      <c r="D302" s="229">
        <v>0</v>
      </c>
      <c r="E302" s="1039">
        <v>0</v>
      </c>
      <c r="F302" s="229">
        <v>0</v>
      </c>
      <c r="G302" s="229">
        <v>0</v>
      </c>
      <c r="H302" s="229">
        <v>0</v>
      </c>
      <c r="I302" s="969"/>
      <c r="K302" s="1014"/>
      <c r="L302" s="952"/>
      <c r="M302" s="969"/>
    </row>
    <row r="303" spans="1:14" ht="12.75">
      <c r="A303" s="941"/>
      <c r="B303" s="942"/>
      <c r="C303" s="942"/>
      <c r="D303" s="229"/>
      <c r="E303" s="1039"/>
      <c r="F303" s="229"/>
      <c r="G303" s="229"/>
      <c r="H303" s="229"/>
      <c r="I303" s="190"/>
      <c r="K303" s="160"/>
      <c r="L303" s="152"/>
      <c r="M303" s="160"/>
      <c r="N303" s="994"/>
    </row>
    <row r="304" spans="1:14" ht="12.75">
      <c r="A304" s="869" t="s">
        <v>695</v>
      </c>
      <c r="B304" s="1045"/>
      <c r="C304" s="1046"/>
      <c r="D304" s="972">
        <f>SUM(D305)</f>
        <v>800</v>
      </c>
      <c r="E304" s="972">
        <f>SUM(E306,E307,E308,E309,E310)</f>
        <v>240.36</v>
      </c>
      <c r="F304" s="972">
        <f>SUM(F305)</f>
        <v>600</v>
      </c>
      <c r="G304" s="972">
        <f>SUM(G305)</f>
        <v>500</v>
      </c>
      <c r="H304" s="972">
        <f>SUM(H305)</f>
        <v>0</v>
      </c>
      <c r="I304" s="190"/>
      <c r="K304" s="160"/>
      <c r="L304" s="152"/>
      <c r="M304" s="160"/>
      <c r="N304" s="994"/>
    </row>
    <row r="305" spans="1:13" s="289" customFormat="1" ht="11.25">
      <c r="A305" s="1084">
        <v>630</v>
      </c>
      <c r="B305" s="1076"/>
      <c r="C305" s="1090" t="s">
        <v>421</v>
      </c>
      <c r="D305" s="262">
        <f>SUM(D306,D307,D308,D309,D310)</f>
        <v>800</v>
      </c>
      <c r="E305" s="262">
        <f>SUM(E306,E307,E308,E309,E310)</f>
        <v>240.36</v>
      </c>
      <c r="F305" s="262">
        <f>SUM(F306,F307,F308,F309,F310)</f>
        <v>600</v>
      </c>
      <c r="G305" s="262">
        <f>SUM(G306,G307,G308,G309,G310)</f>
        <v>500</v>
      </c>
      <c r="H305" s="262">
        <f>SUM(H306,H307,H308,H309,H310)</f>
        <v>0</v>
      </c>
      <c r="I305" s="1013"/>
      <c r="J305" s="1002"/>
      <c r="K305" s="976"/>
      <c r="L305" s="976"/>
      <c r="M305" s="976"/>
    </row>
    <row r="306" spans="1:13" ht="12.75">
      <c r="A306" s="88" t="s">
        <v>541</v>
      </c>
      <c r="B306" s="89"/>
      <c r="C306" s="90" t="s">
        <v>244</v>
      </c>
      <c r="D306" s="119">
        <v>0</v>
      </c>
      <c r="E306" s="119">
        <v>0</v>
      </c>
      <c r="F306" s="119">
        <v>0</v>
      </c>
      <c r="G306" s="119">
        <v>0</v>
      </c>
      <c r="H306" s="119">
        <v>0</v>
      </c>
      <c r="I306" s="160"/>
      <c r="K306" s="152"/>
      <c r="L306" s="152"/>
      <c r="M306" s="152"/>
    </row>
    <row r="307" spans="1:13" ht="12.75">
      <c r="A307" s="88">
        <v>632</v>
      </c>
      <c r="B307" s="89"/>
      <c r="C307" s="90" t="s">
        <v>542</v>
      </c>
      <c r="D307" s="119">
        <v>300</v>
      </c>
      <c r="E307" s="119">
        <v>87.39</v>
      </c>
      <c r="F307" s="119">
        <v>300</v>
      </c>
      <c r="G307" s="119">
        <v>200</v>
      </c>
      <c r="H307" s="119">
        <v>0</v>
      </c>
      <c r="I307" s="969"/>
      <c r="K307" s="1014"/>
      <c r="L307" s="952"/>
      <c r="M307" s="1014"/>
    </row>
    <row r="308" spans="1:13" ht="12.75">
      <c r="A308" s="100">
        <v>633</v>
      </c>
      <c r="B308" s="101"/>
      <c r="C308" s="102" t="s">
        <v>696</v>
      </c>
      <c r="D308" s="119">
        <v>500</v>
      </c>
      <c r="E308" s="119">
        <v>152.97</v>
      </c>
      <c r="F308" s="119">
        <v>300</v>
      </c>
      <c r="G308" s="119">
        <v>300</v>
      </c>
      <c r="H308" s="119">
        <v>0</v>
      </c>
      <c r="I308" s="969"/>
      <c r="K308" s="1014"/>
      <c r="L308" s="952"/>
      <c r="M308" s="1014"/>
    </row>
    <row r="309" spans="1:13" ht="12.75">
      <c r="A309" s="142">
        <v>635</v>
      </c>
      <c r="B309" s="180"/>
      <c r="C309" s="275" t="s">
        <v>351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969"/>
      <c r="K309" s="1014"/>
      <c r="L309" s="952"/>
      <c r="M309" s="1014"/>
    </row>
    <row r="310" spans="1:13" ht="12.75">
      <c r="A310" s="100">
        <v>637</v>
      </c>
      <c r="B310" s="101"/>
      <c r="C310" s="102" t="s">
        <v>256</v>
      </c>
      <c r="D310" s="119">
        <v>0</v>
      </c>
      <c r="E310" s="119">
        <v>0</v>
      </c>
      <c r="F310" s="119">
        <v>0</v>
      </c>
      <c r="G310" s="119">
        <v>0</v>
      </c>
      <c r="H310" s="119">
        <v>0</v>
      </c>
      <c r="I310" s="969"/>
      <c r="K310" s="1014"/>
      <c r="L310" s="952"/>
      <c r="M310" s="1014"/>
    </row>
    <row r="311" spans="1:13" ht="12.75" hidden="1">
      <c r="A311" s="947"/>
      <c r="B311" s="123"/>
      <c r="C311" s="123"/>
      <c r="D311" s="123"/>
      <c r="E311" s="978"/>
      <c r="F311" s="978"/>
      <c r="G311" s="978"/>
      <c r="H311" s="978"/>
      <c r="I311" s="969"/>
      <c r="K311" s="1014"/>
      <c r="L311" s="952"/>
      <c r="M311" s="1014"/>
    </row>
    <row r="312" spans="1:13" ht="12.75">
      <c r="A312" s="858" t="s">
        <v>498</v>
      </c>
      <c r="B312" s="859"/>
      <c r="C312" s="995"/>
      <c r="D312" s="246">
        <v>2014</v>
      </c>
      <c r="E312" s="861" t="s">
        <v>108</v>
      </c>
      <c r="F312" s="980" t="s">
        <v>109</v>
      </c>
      <c r="G312" s="981" t="s">
        <v>110</v>
      </c>
      <c r="H312" s="980"/>
      <c r="I312" s="969"/>
      <c r="K312" s="1014"/>
      <c r="L312" s="952"/>
      <c r="M312" s="1014"/>
    </row>
    <row r="313" spans="1:13" ht="12.75">
      <c r="A313" s="869" t="s">
        <v>697</v>
      </c>
      <c r="B313" s="1045"/>
      <c r="C313" s="1045"/>
      <c r="D313" s="872">
        <f>SUM(D314)</f>
        <v>1200</v>
      </c>
      <c r="E313" s="1091">
        <f>SUM(E314)</f>
        <v>1483.89</v>
      </c>
      <c r="F313" s="1092">
        <f>SUM(F314)</f>
        <v>2000</v>
      </c>
      <c r="G313" s="1092">
        <f>SUM(G314)</f>
        <v>1650</v>
      </c>
      <c r="H313" s="1092">
        <f>SUM(H314)</f>
        <v>0</v>
      </c>
      <c r="I313" s="997"/>
      <c r="K313" s="1014"/>
      <c r="L313" s="952"/>
      <c r="M313" s="1014"/>
    </row>
    <row r="314" spans="1:13" s="289" customFormat="1" ht="11.25">
      <c r="A314" s="1081">
        <v>637</v>
      </c>
      <c r="B314" s="1075"/>
      <c r="C314" s="1076" t="s">
        <v>256</v>
      </c>
      <c r="D314" s="229">
        <f>SUM(D315)</f>
        <v>1200</v>
      </c>
      <c r="E314" s="1039">
        <f>SUM(E315)</f>
        <v>1483.89</v>
      </c>
      <c r="F314" s="284">
        <v>2000</v>
      </c>
      <c r="G314" s="229">
        <f>G315</f>
        <v>1650</v>
      </c>
      <c r="H314" s="229">
        <v>0</v>
      </c>
      <c r="I314" s="1013"/>
      <c r="J314" s="976"/>
      <c r="K314" s="976"/>
      <c r="L314" s="976"/>
      <c r="M314" s="976"/>
    </row>
    <row r="315" spans="1:13" ht="12.75">
      <c r="A315" s="100">
        <v>637</v>
      </c>
      <c r="B315" s="101" t="s">
        <v>145</v>
      </c>
      <c r="C315" s="89" t="s">
        <v>698</v>
      </c>
      <c r="D315" s="119">
        <v>1200</v>
      </c>
      <c r="E315" s="1077">
        <v>1483.89</v>
      </c>
      <c r="F315" s="951">
        <v>2000</v>
      </c>
      <c r="G315" s="140">
        <v>1650</v>
      </c>
      <c r="H315" s="119">
        <v>0</v>
      </c>
      <c r="I315" s="160"/>
      <c r="K315" s="152"/>
      <c r="L315" s="152"/>
      <c r="M315" s="152"/>
    </row>
    <row r="316" spans="1:13" ht="12.75">
      <c r="A316" s="869" t="s">
        <v>699</v>
      </c>
      <c r="B316" s="1045"/>
      <c r="C316" s="1045"/>
      <c r="D316" s="972">
        <f>SUM(D317,D318)</f>
        <v>4750</v>
      </c>
      <c r="E316" s="1063">
        <f>SUM(E317,E318)</f>
        <v>706.92</v>
      </c>
      <c r="F316" s="972">
        <f>SUM(F317,F318)</f>
        <v>2000</v>
      </c>
      <c r="G316" s="972">
        <f>SUM(G317,G318)</f>
        <v>1240</v>
      </c>
      <c r="H316" s="972">
        <f>SUM(H317,H318)</f>
        <v>0</v>
      </c>
      <c r="I316" s="969"/>
      <c r="K316" s="1014"/>
      <c r="L316" s="952"/>
      <c r="M316" s="1014"/>
    </row>
    <row r="317" spans="1:13" s="289" customFormat="1" ht="11.25">
      <c r="A317" s="1084">
        <v>630</v>
      </c>
      <c r="B317" s="1076"/>
      <c r="C317" s="1076" t="s">
        <v>700</v>
      </c>
      <c r="D317" s="229">
        <v>1000</v>
      </c>
      <c r="E317" s="1039">
        <v>186.92</v>
      </c>
      <c r="F317" s="229">
        <v>500</v>
      </c>
      <c r="G317" s="229">
        <v>400</v>
      </c>
      <c r="H317" s="229">
        <v>0</v>
      </c>
      <c r="I317" s="1013"/>
      <c r="J317" s="976"/>
      <c r="K317" s="876"/>
      <c r="L317" s="876"/>
      <c r="M317" s="876"/>
    </row>
    <row r="318" spans="1:14" s="58" customFormat="1" ht="12.75">
      <c r="A318" s="1081">
        <v>642</v>
      </c>
      <c r="B318" s="1075"/>
      <c r="C318" s="1076" t="s">
        <v>437</v>
      </c>
      <c r="D318" s="229">
        <v>3750</v>
      </c>
      <c r="E318" s="1039">
        <v>520</v>
      </c>
      <c r="F318" s="229">
        <v>1500</v>
      </c>
      <c r="G318" s="229">
        <f>G319</f>
        <v>840</v>
      </c>
      <c r="H318" s="229">
        <v>0</v>
      </c>
      <c r="I318" s="190"/>
      <c r="J318" s="137"/>
      <c r="K318" s="160"/>
      <c r="L318" s="152"/>
      <c r="M318" s="152"/>
      <c r="N318" s="54"/>
    </row>
    <row r="319" spans="1:14" s="87" customFormat="1" ht="12.75">
      <c r="A319" s="100">
        <v>642</v>
      </c>
      <c r="B319" s="101" t="s">
        <v>117</v>
      </c>
      <c r="C319" s="89" t="s">
        <v>701</v>
      </c>
      <c r="D319" s="229">
        <v>0</v>
      </c>
      <c r="E319" s="1039">
        <v>0</v>
      </c>
      <c r="F319" s="229">
        <v>0</v>
      </c>
      <c r="G319" s="140">
        <v>840</v>
      </c>
      <c r="H319" s="229">
        <v>0</v>
      </c>
      <c r="I319" s="160"/>
      <c r="J319" s="58"/>
      <c r="K319" s="152"/>
      <c r="L319" s="152"/>
      <c r="M319" s="152"/>
      <c r="N319" s="54"/>
    </row>
    <row r="320" spans="1:14" s="87" customFormat="1" ht="12.75">
      <c r="A320" s="989" t="s">
        <v>702</v>
      </c>
      <c r="B320" s="990"/>
      <c r="C320" s="301" t="s">
        <v>703</v>
      </c>
      <c r="D320" s="1008">
        <f>SUM(D270,D282,D304,D313,D316)</f>
        <v>69850</v>
      </c>
      <c r="E320" s="253">
        <f>SUM(E270,E282,E304,E313,E316)</f>
        <v>29623.829999999998</v>
      </c>
      <c r="F320" s="253">
        <f>SUM(F270,F282,F304,F313,F316)</f>
        <v>64000</v>
      </c>
      <c r="G320" s="253">
        <f>SUM(G270,G282,G304,G313,G316)</f>
        <v>71360</v>
      </c>
      <c r="H320" s="253">
        <f>SUM(H270,H282,H304,H313,H316)</f>
        <v>0</v>
      </c>
      <c r="I320" s="969"/>
      <c r="J320" s="58"/>
      <c r="K320" s="1014"/>
      <c r="L320" s="152"/>
      <c r="M320" s="152"/>
      <c r="N320" s="54"/>
    </row>
    <row r="321" spans="1:14" ht="12.75">
      <c r="A321" s="1009"/>
      <c r="B321" s="152"/>
      <c r="C321" s="282"/>
      <c r="D321" s="282"/>
      <c r="E321" s="1010"/>
      <c r="F321" s="1010"/>
      <c r="G321" s="1010"/>
      <c r="H321" s="1011"/>
      <c r="I321" s="191"/>
      <c r="J321" s="976"/>
      <c r="K321" s="876"/>
      <c r="L321" s="876"/>
      <c r="M321" s="876"/>
      <c r="N321" s="1016"/>
    </row>
    <row r="322" spans="1:8" ht="12.75" hidden="1">
      <c r="A322" s="1009"/>
      <c r="B322" s="152"/>
      <c r="C322" s="282"/>
      <c r="D322" s="282"/>
      <c r="E322" s="1010"/>
      <c r="F322" s="1010"/>
      <c r="G322" s="1010"/>
      <c r="H322" s="1011"/>
    </row>
    <row r="323" spans="1:8" ht="12.75" hidden="1">
      <c r="A323" s="1009"/>
      <c r="B323" s="152"/>
      <c r="C323" s="282"/>
      <c r="D323" s="282"/>
      <c r="E323" s="1010"/>
      <c r="F323" s="1010"/>
      <c r="G323" s="1010"/>
      <c r="H323" s="1011"/>
    </row>
    <row r="324" spans="1:8" ht="12.75">
      <c r="A324" s="1009"/>
      <c r="B324" s="152"/>
      <c r="C324" s="282"/>
      <c r="D324" s="282"/>
      <c r="E324" s="1010"/>
      <c r="F324" s="1249" t="s">
        <v>704</v>
      </c>
      <c r="G324" s="1249"/>
      <c r="H324" s="1249"/>
    </row>
    <row r="325" spans="1:13" ht="12.75">
      <c r="A325" s="858" t="s">
        <v>498</v>
      </c>
      <c r="B325" s="859"/>
      <c r="C325" s="995"/>
      <c r="D325" s="246">
        <v>2014</v>
      </c>
      <c r="E325" s="861" t="s">
        <v>108</v>
      </c>
      <c r="F325" s="862" t="s">
        <v>109</v>
      </c>
      <c r="G325" s="981" t="s">
        <v>110</v>
      </c>
      <c r="H325" s="862"/>
      <c r="I325" s="272"/>
      <c r="J325" s="272"/>
      <c r="K325" s="272"/>
      <c r="L325" s="272"/>
      <c r="M325" s="272"/>
    </row>
    <row r="326" spans="1:13" s="1000" customFormat="1" ht="12">
      <c r="A326" s="869" t="s">
        <v>705</v>
      </c>
      <c r="B326" s="1045"/>
      <c r="C326" s="1045"/>
      <c r="D326" s="972">
        <f>SUM(D327,D329,D330,D331,D333)+D332</f>
        <v>121900</v>
      </c>
      <c r="E326" s="1063">
        <f>SUM(E327,E329,E333)+E332+E330+E331</f>
        <v>58287.02</v>
      </c>
      <c r="F326" s="972">
        <f>F327+F328+F329+F330+F331+F333+F332</f>
        <v>127100</v>
      </c>
      <c r="G326" s="972">
        <f>SUM(G327,G329,G333)+G330+G331+G332</f>
        <v>132510</v>
      </c>
      <c r="H326" s="972">
        <f>SUM(H327,H329,H333)+H330+H331+H332</f>
        <v>0</v>
      </c>
      <c r="I326" s="997"/>
      <c r="J326" s="998"/>
      <c r="K326" s="999"/>
      <c r="L326" s="865"/>
      <c r="M326" s="866"/>
    </row>
    <row r="327" spans="1:13" s="289" customFormat="1" ht="11.25">
      <c r="A327" s="1093" t="s">
        <v>706</v>
      </c>
      <c r="B327" s="1094" t="s">
        <v>707</v>
      </c>
      <c r="C327" s="1083" t="s">
        <v>538</v>
      </c>
      <c r="D327" s="229">
        <v>67400</v>
      </c>
      <c r="E327" s="1039">
        <v>38255.63</v>
      </c>
      <c r="F327" s="229">
        <v>67400</v>
      </c>
      <c r="G327" s="1020">
        <v>124897</v>
      </c>
      <c r="H327" s="229">
        <v>0</v>
      </c>
      <c r="I327" s="1013"/>
      <c r="J327" s="255"/>
      <c r="K327" s="876"/>
      <c r="L327" s="876"/>
      <c r="M327" s="876"/>
    </row>
    <row r="328" spans="1:13" s="289" customFormat="1" ht="11.25">
      <c r="A328" s="1093"/>
      <c r="B328" s="1094"/>
      <c r="C328" s="891" t="s">
        <v>708</v>
      </c>
      <c r="D328" s="1005"/>
      <c r="E328" s="1095"/>
      <c r="F328" s="1006">
        <v>0</v>
      </c>
      <c r="G328" s="1005"/>
      <c r="H328" s="1005"/>
      <c r="I328" s="1013"/>
      <c r="J328" s="976"/>
      <c r="K328" s="876"/>
      <c r="L328" s="876"/>
      <c r="M328" s="876"/>
    </row>
    <row r="329" spans="1:13" ht="12.75">
      <c r="A329" s="1096"/>
      <c r="B329" s="1094" t="s">
        <v>709</v>
      </c>
      <c r="C329" s="1076" t="s">
        <v>421</v>
      </c>
      <c r="D329" s="229">
        <v>40200</v>
      </c>
      <c r="E329" s="1039">
        <v>9966.67</v>
      </c>
      <c r="F329" s="284">
        <v>40200</v>
      </c>
      <c r="G329" s="229">
        <v>0</v>
      </c>
      <c r="H329" s="229">
        <v>0</v>
      </c>
      <c r="I329" s="190"/>
      <c r="J329" s="137"/>
      <c r="K329" s="160"/>
      <c r="L329" s="152"/>
      <c r="M329" s="160"/>
    </row>
    <row r="330" spans="1:14" s="87" customFormat="1" ht="12.75">
      <c r="A330" s="1096"/>
      <c r="B330" s="1094"/>
      <c r="C330" s="1097" t="s">
        <v>447</v>
      </c>
      <c r="D330" s="1098">
        <v>0</v>
      </c>
      <c r="E330" s="1099">
        <v>132.8</v>
      </c>
      <c r="F330" s="1098">
        <v>200</v>
      </c>
      <c r="G330" s="1098">
        <v>183</v>
      </c>
      <c r="H330" s="1098">
        <v>0</v>
      </c>
      <c r="I330" s="190"/>
      <c r="J330" s="137"/>
      <c r="K330" s="160"/>
      <c r="L330" s="152"/>
      <c r="M330" s="160"/>
      <c r="N330" s="141"/>
    </row>
    <row r="331" spans="1:14" s="87" customFormat="1" ht="12.75">
      <c r="A331" s="1096"/>
      <c r="B331" s="1094"/>
      <c r="C331" s="1097" t="s">
        <v>710</v>
      </c>
      <c r="D331" s="1100">
        <v>0</v>
      </c>
      <c r="E331" s="1101">
        <v>2442</v>
      </c>
      <c r="F331" s="1102">
        <v>5000</v>
      </c>
      <c r="G331" s="1100">
        <v>4720</v>
      </c>
      <c r="H331" s="1100">
        <v>0</v>
      </c>
      <c r="I331" s="1068"/>
      <c r="J331" s="1069"/>
      <c r="K331" s="1068"/>
      <c r="L331" s="867"/>
      <c r="M331" s="1068"/>
      <c r="N331" s="54"/>
    </row>
    <row r="332" spans="1:14" s="87" customFormat="1" ht="12.75">
      <c r="A332" s="1096"/>
      <c r="B332" s="1094"/>
      <c r="C332" s="1103" t="s">
        <v>711</v>
      </c>
      <c r="D332" s="117">
        <v>2300</v>
      </c>
      <c r="E332" s="975">
        <v>2052.38</v>
      </c>
      <c r="F332" s="121">
        <v>2300</v>
      </c>
      <c r="G332" s="119">
        <v>2710</v>
      </c>
      <c r="H332" s="119">
        <v>0</v>
      </c>
      <c r="I332" s="1068"/>
      <c r="J332" s="1069"/>
      <c r="K332" s="1068"/>
      <c r="L332" s="867"/>
      <c r="M332" s="1068"/>
      <c r="N332" s="54"/>
    </row>
    <row r="333" spans="1:14" s="87" customFormat="1" ht="12.75">
      <c r="A333" s="1096" t="s">
        <v>712</v>
      </c>
      <c r="B333" s="1094">
        <v>633</v>
      </c>
      <c r="C333" s="1076" t="s">
        <v>713</v>
      </c>
      <c r="D333" s="229">
        <f>SUM(D334)</f>
        <v>12000</v>
      </c>
      <c r="E333" s="1039">
        <f>SUM(E334)</f>
        <v>5437.54</v>
      </c>
      <c r="F333" s="284">
        <v>12000</v>
      </c>
      <c r="G333" s="229">
        <v>0</v>
      </c>
      <c r="H333" s="229">
        <v>0</v>
      </c>
      <c r="I333" s="190"/>
      <c r="J333" s="137"/>
      <c r="K333" s="160"/>
      <c r="L333" s="152"/>
      <c r="M333" s="160"/>
      <c r="N333" s="54"/>
    </row>
    <row r="334" spans="1:14" s="87" customFormat="1" ht="12.75">
      <c r="A334" s="1093"/>
      <c r="B334" s="1094"/>
      <c r="C334" s="986" t="s">
        <v>714</v>
      </c>
      <c r="D334" s="119">
        <v>12000</v>
      </c>
      <c r="E334" s="1077">
        <v>5437.54</v>
      </c>
      <c r="F334" s="111">
        <v>5500</v>
      </c>
      <c r="G334" s="119">
        <v>0</v>
      </c>
      <c r="H334" s="119">
        <v>0</v>
      </c>
      <c r="I334" s="190"/>
      <c r="J334" s="137"/>
      <c r="K334" s="160"/>
      <c r="L334" s="152"/>
      <c r="M334" s="160"/>
      <c r="N334" s="54"/>
    </row>
    <row r="335" spans="1:14" s="87" customFormat="1" ht="12.75" hidden="1">
      <c r="A335" s="1104"/>
      <c r="B335" s="1007"/>
      <c r="C335" s="1105"/>
      <c r="D335" s="853"/>
      <c r="E335" s="853"/>
      <c r="F335" s="853"/>
      <c r="G335" s="96"/>
      <c r="H335" s="97"/>
      <c r="I335" s="190"/>
      <c r="J335" s="58"/>
      <c r="K335" s="160"/>
      <c r="L335" s="152"/>
      <c r="M335" s="160"/>
      <c r="N335" s="54"/>
    </row>
    <row r="336" spans="1:14" s="87" customFormat="1" ht="12.75">
      <c r="A336" s="869" t="s">
        <v>715</v>
      </c>
      <c r="B336" s="1045"/>
      <c r="C336" s="1045"/>
      <c r="D336" s="872">
        <f>SUM(D337,D339,D340,D341,D342,D343)</f>
        <v>567700</v>
      </c>
      <c r="E336" s="1038">
        <f>SUM(E337,E339,E340,E341,E342,E343,E349)</f>
        <v>284980.23</v>
      </c>
      <c r="F336" s="872">
        <f>SUM(F337,F338,F339,F341,F348,F342,F349,F344,F345,F346,F340,F350,F347)</f>
        <v>583000</v>
      </c>
      <c r="G336" s="872">
        <f>SUM(G337,G339,G341,G348,G342,G349,G344,G345,G346,G340,G350)</f>
        <v>620601.2</v>
      </c>
      <c r="H336" s="872">
        <f>SUM(H337,H339,H341,H348,H342,H349,H344,H345,H346,H340,H350)</f>
        <v>0</v>
      </c>
      <c r="I336" s="191"/>
      <c r="J336" s="58"/>
      <c r="K336" s="58"/>
      <c r="L336" s="58"/>
      <c r="M336" s="58"/>
      <c r="N336" s="54"/>
    </row>
    <row r="337" spans="1:13" s="289" customFormat="1" ht="11.25">
      <c r="A337" s="88" t="s">
        <v>707</v>
      </c>
      <c r="B337" s="1094"/>
      <c r="C337" s="1083" t="s">
        <v>538</v>
      </c>
      <c r="D337" s="229">
        <v>400000</v>
      </c>
      <c r="E337" s="1039">
        <v>224817.74</v>
      </c>
      <c r="F337" s="284">
        <v>400000</v>
      </c>
      <c r="G337" s="229">
        <v>494935</v>
      </c>
      <c r="H337" s="229">
        <v>0</v>
      </c>
      <c r="I337" s="1013"/>
      <c r="J337" s="1003"/>
      <c r="K337" s="876"/>
      <c r="L337" s="876"/>
      <c r="M337" s="876"/>
    </row>
    <row r="338" spans="1:13" s="289" customFormat="1" ht="11.25">
      <c r="A338" s="88"/>
      <c r="B338" s="1094"/>
      <c r="C338" s="891" t="s">
        <v>708</v>
      </c>
      <c r="D338" s="1005"/>
      <c r="E338" s="1095"/>
      <c r="F338" s="1006">
        <v>0</v>
      </c>
      <c r="G338" s="1005"/>
      <c r="H338" s="1005"/>
      <c r="I338" s="1013"/>
      <c r="J338" s="1003"/>
      <c r="K338" s="876"/>
      <c r="L338" s="876"/>
      <c r="M338" s="876"/>
    </row>
    <row r="339" spans="1:13" ht="12.75">
      <c r="A339" s="88" t="s">
        <v>709</v>
      </c>
      <c r="B339" s="1094"/>
      <c r="C339" s="1076" t="s">
        <v>421</v>
      </c>
      <c r="D339" s="229">
        <v>45000</v>
      </c>
      <c r="E339" s="1039">
        <v>0</v>
      </c>
      <c r="F339" s="284">
        <v>35000</v>
      </c>
      <c r="G339" s="229">
        <v>0</v>
      </c>
      <c r="H339" s="229">
        <v>0</v>
      </c>
      <c r="I339" s="190"/>
      <c r="J339" s="137"/>
      <c r="K339" s="160"/>
      <c r="L339" s="152"/>
      <c r="M339" s="152"/>
    </row>
    <row r="340" spans="1:13" ht="12.75">
      <c r="A340" s="88"/>
      <c r="B340" s="1094"/>
      <c r="C340" s="1103" t="s">
        <v>716</v>
      </c>
      <c r="D340" s="117">
        <v>0</v>
      </c>
      <c r="E340" s="975">
        <v>4843.74</v>
      </c>
      <c r="F340" s="121">
        <v>5000</v>
      </c>
      <c r="G340" s="117">
        <v>6000</v>
      </c>
      <c r="H340" s="117">
        <v>0</v>
      </c>
      <c r="I340" s="190"/>
      <c r="J340" s="190"/>
      <c r="K340" s="160"/>
      <c r="L340" s="152"/>
      <c r="M340" s="152"/>
    </row>
    <row r="341" spans="1:14" ht="12.75">
      <c r="A341" s="88" t="s">
        <v>717</v>
      </c>
      <c r="B341" s="89"/>
      <c r="C341" s="89" t="s">
        <v>453</v>
      </c>
      <c r="D341" s="229">
        <v>38000</v>
      </c>
      <c r="E341" s="1039">
        <v>22749.6</v>
      </c>
      <c r="F341" s="284">
        <v>38000</v>
      </c>
      <c r="G341" s="229">
        <v>38000</v>
      </c>
      <c r="H341" s="229">
        <v>0</v>
      </c>
      <c r="I341" s="190"/>
      <c r="J341" s="190"/>
      <c r="K341" s="160"/>
      <c r="L341" s="152"/>
      <c r="M341" s="152"/>
      <c r="N341" s="141"/>
    </row>
    <row r="342" spans="1:14" s="87" customFormat="1" ht="12.75">
      <c r="A342" s="912"/>
      <c r="B342" s="913"/>
      <c r="C342" s="913" t="s">
        <v>718</v>
      </c>
      <c r="D342" s="1005">
        <v>0</v>
      </c>
      <c r="E342" s="1095">
        <v>0</v>
      </c>
      <c r="F342" s="1006">
        <v>0</v>
      </c>
      <c r="G342" s="1005">
        <v>0</v>
      </c>
      <c r="H342" s="1005">
        <v>0</v>
      </c>
      <c r="I342" s="190"/>
      <c r="J342" s="58"/>
      <c r="K342" s="160"/>
      <c r="L342" s="952"/>
      <c r="M342" s="152"/>
      <c r="N342" s="141"/>
    </row>
    <row r="343" spans="1:14" s="1106" customFormat="1" ht="12.75">
      <c r="A343" s="912"/>
      <c r="B343" s="913"/>
      <c r="C343" s="913" t="s">
        <v>719</v>
      </c>
      <c r="D343" s="1005">
        <f>SUM(D344,D345,D346,D347,D348,D349,D350)</f>
        <v>84700</v>
      </c>
      <c r="E343" s="1095">
        <f>E344+E345+E346+E348+E350</f>
        <v>23457.07</v>
      </c>
      <c r="F343" s="1006">
        <f>F344+F345+F346+F348+F349+F350</f>
        <v>104600</v>
      </c>
      <c r="G343" s="1005">
        <f>G344+G345+G346+G348+G349+G350</f>
        <v>81666.2</v>
      </c>
      <c r="H343" s="1005">
        <f>H344+H345+H346+H348+H349</f>
        <v>0</v>
      </c>
      <c r="I343" s="956"/>
      <c r="J343" s="920"/>
      <c r="K343" s="935"/>
      <c r="L343" s="867"/>
      <c r="M343" s="934"/>
      <c r="N343" s="932"/>
    </row>
    <row r="344" spans="1:14" s="1106" customFormat="1" ht="12.75">
      <c r="A344" s="1107"/>
      <c r="B344" s="1086"/>
      <c r="C344" s="1097" t="s">
        <v>720</v>
      </c>
      <c r="D344" s="1108">
        <v>3500</v>
      </c>
      <c r="E344" s="1109">
        <v>1800</v>
      </c>
      <c r="F344" s="1110">
        <v>3500</v>
      </c>
      <c r="G344" s="1108">
        <v>3488</v>
      </c>
      <c r="H344" s="1108">
        <v>0</v>
      </c>
      <c r="I344" s="956"/>
      <c r="J344" s="920"/>
      <c r="K344" s="935"/>
      <c r="L344" s="867"/>
      <c r="M344" s="934"/>
      <c r="N344" s="932"/>
    </row>
    <row r="345" spans="1:14" s="87" customFormat="1" ht="12.75">
      <c r="A345" s="1107"/>
      <c r="B345" s="1086"/>
      <c r="C345" s="1097" t="s">
        <v>721</v>
      </c>
      <c r="D345" s="1108">
        <v>10000</v>
      </c>
      <c r="E345" s="1109">
        <v>6510</v>
      </c>
      <c r="F345" s="1110">
        <v>14500</v>
      </c>
      <c r="G345" s="1108">
        <v>11890</v>
      </c>
      <c r="H345" s="1108">
        <v>0</v>
      </c>
      <c r="I345" s="1068"/>
      <c r="J345" s="1069"/>
      <c r="K345" s="1068"/>
      <c r="L345" s="867"/>
      <c r="M345" s="1111"/>
      <c r="N345" s="54"/>
    </row>
    <row r="346" spans="1:14" s="87" customFormat="1" ht="12.75">
      <c r="A346" s="1107"/>
      <c r="B346" s="1086"/>
      <c r="C346" s="1097" t="s">
        <v>447</v>
      </c>
      <c r="D346" s="1108">
        <v>2800</v>
      </c>
      <c r="E346" s="1109">
        <v>1294.8</v>
      </c>
      <c r="F346" s="1110">
        <v>3000</v>
      </c>
      <c r="G346" s="1108">
        <v>2440.2</v>
      </c>
      <c r="H346" s="1108">
        <v>0</v>
      </c>
      <c r="I346" s="1068"/>
      <c r="J346" s="1069"/>
      <c r="K346" s="1068"/>
      <c r="L346" s="867"/>
      <c r="M346" s="1111"/>
      <c r="N346" s="54"/>
    </row>
    <row r="347" spans="1:14" s="87" customFormat="1" ht="12.75">
      <c r="A347" s="1107"/>
      <c r="B347" s="1086"/>
      <c r="C347" s="986" t="s">
        <v>722</v>
      </c>
      <c r="D347" s="119">
        <v>400</v>
      </c>
      <c r="E347" s="1077"/>
      <c r="F347" s="951">
        <v>400</v>
      </c>
      <c r="G347" s="119">
        <v>174</v>
      </c>
      <c r="H347" s="119"/>
      <c r="I347" s="1068"/>
      <c r="J347" s="1069"/>
      <c r="K347" s="1068"/>
      <c r="L347" s="867"/>
      <c r="M347" s="1111"/>
      <c r="N347" s="54"/>
    </row>
    <row r="348" spans="1:14" s="87" customFormat="1" ht="12.75">
      <c r="A348" s="912" t="s">
        <v>717</v>
      </c>
      <c r="B348" s="913"/>
      <c r="C348" s="913" t="s">
        <v>723</v>
      </c>
      <c r="D348" s="1108">
        <v>8000</v>
      </c>
      <c r="E348" s="1109">
        <v>5134</v>
      </c>
      <c r="F348" s="1110">
        <v>8000</v>
      </c>
      <c r="G348" s="1108">
        <v>8403</v>
      </c>
      <c r="H348" s="1108">
        <v>0</v>
      </c>
      <c r="I348" s="1068"/>
      <c r="J348" s="1069"/>
      <c r="K348" s="1068"/>
      <c r="L348" s="867"/>
      <c r="M348" s="1111"/>
      <c r="N348" s="54"/>
    </row>
    <row r="349" spans="1:13" ht="12.75">
      <c r="A349" s="912"/>
      <c r="B349" s="913"/>
      <c r="C349" s="913" t="s">
        <v>459</v>
      </c>
      <c r="D349" s="1112">
        <v>60000</v>
      </c>
      <c r="E349" s="1101">
        <v>9112.08</v>
      </c>
      <c r="F349" s="1112">
        <v>60000</v>
      </c>
      <c r="G349" s="1112">
        <v>39600</v>
      </c>
      <c r="H349" s="1112">
        <v>0</v>
      </c>
      <c r="I349" s="956"/>
      <c r="K349" s="1017"/>
      <c r="L349" s="867"/>
      <c r="M349" s="934"/>
    </row>
    <row r="350" spans="1:13" ht="12.75">
      <c r="A350" s="912"/>
      <c r="B350" s="913"/>
      <c r="C350" s="913" t="s">
        <v>460</v>
      </c>
      <c r="D350" s="1112">
        <v>0</v>
      </c>
      <c r="E350" s="1109">
        <v>8718.27</v>
      </c>
      <c r="F350" s="1112">
        <v>15600</v>
      </c>
      <c r="G350" s="1112">
        <v>15845</v>
      </c>
      <c r="H350" s="1112">
        <v>0</v>
      </c>
      <c r="I350" s="956"/>
      <c r="K350" s="1017"/>
      <c r="L350" s="867"/>
      <c r="M350" s="934"/>
    </row>
    <row r="351" spans="1:13" ht="12.75">
      <c r="A351" s="869" t="s">
        <v>724</v>
      </c>
      <c r="B351" s="1045"/>
      <c r="C351" s="1045" t="s">
        <v>461</v>
      </c>
      <c r="D351" s="972">
        <f>SUM(D352,D354,D355)</f>
        <v>67400</v>
      </c>
      <c r="E351" s="1063">
        <f>SUM(E352,E354,E355)</f>
        <v>41321.409999999996</v>
      </c>
      <c r="F351" s="972">
        <f>SUM(F352,F353,F354,F355)</f>
        <v>66600</v>
      </c>
      <c r="G351" s="972">
        <f>SUM(G352,G354,G355)</f>
        <v>71750</v>
      </c>
      <c r="H351" s="972">
        <f>SUM(H352,H354,H355)</f>
        <v>0</v>
      </c>
      <c r="I351" s="956"/>
      <c r="K351" s="1017"/>
      <c r="L351" s="867"/>
      <c r="M351" s="934"/>
    </row>
    <row r="352" spans="1:13" s="1004" customFormat="1" ht="12.75">
      <c r="A352" s="1081">
        <v>610</v>
      </c>
      <c r="B352" s="1082"/>
      <c r="C352" s="1083" t="s">
        <v>538</v>
      </c>
      <c r="D352" s="229">
        <v>23000</v>
      </c>
      <c r="E352" s="1039">
        <v>11164.61</v>
      </c>
      <c r="F352" s="284">
        <v>23000</v>
      </c>
      <c r="G352" s="229">
        <v>23000</v>
      </c>
      <c r="H352" s="229">
        <v>0</v>
      </c>
      <c r="I352" s="1013"/>
      <c r="J352" s="976"/>
      <c r="K352" s="876"/>
      <c r="L352" s="876"/>
      <c r="M352" s="876"/>
    </row>
    <row r="353" spans="1:13" s="1004" customFormat="1" ht="12.75">
      <c r="A353" s="1081"/>
      <c r="B353" s="1082"/>
      <c r="C353" s="891" t="s">
        <v>708</v>
      </c>
      <c r="D353" s="1006"/>
      <c r="E353" s="1113"/>
      <c r="F353" s="1006"/>
      <c r="G353" s="1006">
        <v>0</v>
      </c>
      <c r="H353" s="1006"/>
      <c r="I353" s="1013"/>
      <c r="J353" s="976"/>
      <c r="K353" s="876"/>
      <c r="L353" s="876"/>
      <c r="M353" s="876"/>
    </row>
    <row r="354" spans="1:13" ht="12.75">
      <c r="A354" s="1081">
        <v>620</v>
      </c>
      <c r="B354" s="1075"/>
      <c r="C354" s="1075" t="s">
        <v>242</v>
      </c>
      <c r="D354" s="229">
        <v>8000</v>
      </c>
      <c r="E354" s="1039">
        <v>3957.62</v>
      </c>
      <c r="F354" s="284">
        <v>8000</v>
      </c>
      <c r="G354" s="229">
        <v>8000</v>
      </c>
      <c r="H354" s="229">
        <v>0</v>
      </c>
      <c r="I354" s="160"/>
      <c r="K354" s="160"/>
      <c r="L354" s="152"/>
      <c r="M354" s="160"/>
    </row>
    <row r="355" spans="1:13" ht="12.75">
      <c r="A355" s="1084">
        <v>630</v>
      </c>
      <c r="B355" s="1076"/>
      <c r="C355" s="1076" t="s">
        <v>421</v>
      </c>
      <c r="D355" s="229">
        <f>SUM(D356,D357,D358,D361,D359,D360)</f>
        <v>36400</v>
      </c>
      <c r="E355" s="1039">
        <f>SUM(E356,E357,E358,E361,E359,E360)</f>
        <v>26199.179999999997</v>
      </c>
      <c r="F355" s="284">
        <f>SUM(F356,F357,F358,F361,F359,F360)</f>
        <v>35600</v>
      </c>
      <c r="G355" s="229">
        <f>SUM(G356,G357,G358,G361,G359,G360)</f>
        <v>40750</v>
      </c>
      <c r="H355" s="229">
        <f>SUM(H356,H357,H358,H361,H359,H360)</f>
        <v>0</v>
      </c>
      <c r="I355" s="160"/>
      <c r="K355" s="160"/>
      <c r="L355" s="152"/>
      <c r="M355" s="160"/>
    </row>
    <row r="356" spans="1:13" ht="12.75">
      <c r="A356" s="142">
        <v>632</v>
      </c>
      <c r="B356" s="180"/>
      <c r="C356" s="180" t="s">
        <v>725</v>
      </c>
      <c r="D356" s="119">
        <v>8400</v>
      </c>
      <c r="E356" s="1077">
        <v>3591.83</v>
      </c>
      <c r="F356" s="951">
        <v>7500</v>
      </c>
      <c r="G356" s="119">
        <v>6700</v>
      </c>
      <c r="H356" s="119">
        <v>0</v>
      </c>
      <c r="I356" s="160"/>
      <c r="K356" s="152"/>
      <c r="L356" s="152"/>
      <c r="M356" s="160"/>
    </row>
    <row r="357" spans="1:13" ht="12.75">
      <c r="A357" s="100">
        <v>633</v>
      </c>
      <c r="B357" s="101"/>
      <c r="C357" s="101" t="s">
        <v>413</v>
      </c>
      <c r="D357" s="119">
        <v>500</v>
      </c>
      <c r="E357" s="1077">
        <v>210.91</v>
      </c>
      <c r="F357" s="951">
        <v>500</v>
      </c>
      <c r="G357" s="119">
        <v>500</v>
      </c>
      <c r="H357" s="119">
        <v>0</v>
      </c>
      <c r="I357" s="969"/>
      <c r="K357" s="969"/>
      <c r="L357" s="952"/>
      <c r="M357" s="969"/>
    </row>
    <row r="358" spans="1:13" ht="12.75">
      <c r="A358" s="941">
        <v>633</v>
      </c>
      <c r="B358" s="942" t="s">
        <v>555</v>
      </c>
      <c r="C358" s="942" t="s">
        <v>446</v>
      </c>
      <c r="D358" s="119">
        <v>23000</v>
      </c>
      <c r="E358" s="1077">
        <v>18734.58</v>
      </c>
      <c r="F358" s="951">
        <v>23000</v>
      </c>
      <c r="G358" s="119">
        <v>27000</v>
      </c>
      <c r="H358" s="119">
        <v>0</v>
      </c>
      <c r="I358" s="969"/>
      <c r="K358" s="1014"/>
      <c r="L358" s="952"/>
      <c r="M358" s="969"/>
    </row>
    <row r="359" spans="1:13" ht="12.75">
      <c r="A359" s="100">
        <v>633</v>
      </c>
      <c r="B359" s="101" t="s">
        <v>133</v>
      </c>
      <c r="C359" s="1114" t="s">
        <v>726</v>
      </c>
      <c r="D359" s="119">
        <v>4000</v>
      </c>
      <c r="E359" s="1077">
        <v>3149.24</v>
      </c>
      <c r="F359" s="951">
        <v>4000</v>
      </c>
      <c r="G359" s="119">
        <v>3200</v>
      </c>
      <c r="H359" s="119">
        <v>0</v>
      </c>
      <c r="I359" s="969"/>
      <c r="K359" s="969"/>
      <c r="L359" s="952"/>
      <c r="M359" s="160"/>
    </row>
    <row r="360" spans="1:13" ht="12.75">
      <c r="A360" s="100">
        <v>635</v>
      </c>
      <c r="B360" s="101"/>
      <c r="C360" s="1114" t="s">
        <v>727</v>
      </c>
      <c r="D360" s="119">
        <v>400</v>
      </c>
      <c r="E360" s="1077">
        <v>20.98</v>
      </c>
      <c r="F360" s="951">
        <v>100</v>
      </c>
      <c r="G360" s="119">
        <v>2400</v>
      </c>
      <c r="H360" s="119">
        <v>0</v>
      </c>
      <c r="I360" s="969"/>
      <c r="K360" s="969"/>
      <c r="L360" s="952"/>
      <c r="M360" s="160"/>
    </row>
    <row r="361" spans="1:13" ht="12.75">
      <c r="A361" s="1096">
        <v>637</v>
      </c>
      <c r="B361" s="89"/>
      <c r="C361" s="89" t="s">
        <v>256</v>
      </c>
      <c r="D361" s="1115">
        <v>100</v>
      </c>
      <c r="E361" s="1116">
        <v>491.64</v>
      </c>
      <c r="F361" s="1117">
        <v>500</v>
      </c>
      <c r="G361" s="1115">
        <v>950</v>
      </c>
      <c r="H361" s="1115">
        <v>0</v>
      </c>
      <c r="I361" s="969"/>
      <c r="K361" s="969"/>
      <c r="L361" s="952"/>
      <c r="M361" s="160"/>
    </row>
    <row r="362" spans="1:14" ht="12.75">
      <c r="A362" s="989" t="s">
        <v>728</v>
      </c>
      <c r="B362" s="990"/>
      <c r="C362" s="301" t="s">
        <v>530</v>
      </c>
      <c r="D362" s="1008">
        <f>SUM(D326,D336,D351)</f>
        <v>757000</v>
      </c>
      <c r="E362" s="1060">
        <f>SUM(E326,E336,E351)</f>
        <v>384588.66</v>
      </c>
      <c r="F362" s="1008">
        <f>SUM(F326,F336,F351)</f>
        <v>776700</v>
      </c>
      <c r="G362" s="1008">
        <f>SUM(G326,G336,G351)</f>
        <v>824861.2</v>
      </c>
      <c r="H362" s="1008">
        <f>SUM(H326,H336,H351)</f>
        <v>0</v>
      </c>
      <c r="I362" s="969"/>
      <c r="K362" s="1014"/>
      <c r="L362" s="952"/>
      <c r="M362" s="160"/>
      <c r="N362" s="994"/>
    </row>
    <row r="363" spans="1:14" ht="12.75">
      <c r="A363" s="1009"/>
      <c r="B363" s="152"/>
      <c r="C363" s="282"/>
      <c r="D363" s="255"/>
      <c r="E363" s="255"/>
      <c r="F363" s="255"/>
      <c r="G363" s="255"/>
      <c r="H363" s="255"/>
      <c r="I363" s="969"/>
      <c r="K363" s="1014"/>
      <c r="L363" s="952"/>
      <c r="M363" s="160"/>
      <c r="N363" s="994"/>
    </row>
    <row r="364" spans="1:14" ht="12.75">
      <c r="A364" s="1009"/>
      <c r="B364" s="152"/>
      <c r="C364" s="282"/>
      <c r="D364" s="255"/>
      <c r="E364" s="255"/>
      <c r="F364" s="255"/>
      <c r="G364" s="255"/>
      <c r="H364" s="255"/>
      <c r="I364" s="969"/>
      <c r="K364" s="1014"/>
      <c r="L364" s="952"/>
      <c r="M364" s="160"/>
      <c r="N364" s="994"/>
    </row>
    <row r="365" spans="1:14" ht="12.75">
      <c r="A365" s="1009"/>
      <c r="B365" s="152"/>
      <c r="C365" s="282"/>
      <c r="D365" s="255"/>
      <c r="E365" s="255"/>
      <c r="F365" s="255"/>
      <c r="G365" s="255"/>
      <c r="H365" s="255"/>
      <c r="I365" s="969"/>
      <c r="K365" s="1014"/>
      <c r="L365" s="952"/>
      <c r="M365" s="160"/>
      <c r="N365" s="994"/>
    </row>
    <row r="366" spans="1:14" ht="12.75">
      <c r="A366" s="1009"/>
      <c r="B366" s="152"/>
      <c r="C366" s="282"/>
      <c r="D366" s="255"/>
      <c r="E366" s="255"/>
      <c r="F366" s="255"/>
      <c r="G366" s="255"/>
      <c r="H366" s="255"/>
      <c r="I366" s="969"/>
      <c r="K366" s="1014"/>
      <c r="L366" s="952"/>
      <c r="M366" s="160"/>
      <c r="N366" s="994"/>
    </row>
    <row r="367" spans="1:14" ht="12.75">
      <c r="A367" s="1009"/>
      <c r="B367" s="152"/>
      <c r="C367" s="282"/>
      <c r="D367" s="255"/>
      <c r="E367" s="255"/>
      <c r="F367" s="255"/>
      <c r="G367" s="255"/>
      <c r="H367" s="255"/>
      <c r="I367" s="969"/>
      <c r="K367" s="1014"/>
      <c r="L367" s="952"/>
      <c r="M367" s="160"/>
      <c r="N367" s="994"/>
    </row>
    <row r="368" spans="1:14" ht="12.75">
      <c r="A368" s="1009"/>
      <c r="B368" s="152"/>
      <c r="C368" s="282"/>
      <c r="D368" s="255"/>
      <c r="E368" s="255"/>
      <c r="F368" s="255"/>
      <c r="G368" s="255"/>
      <c r="H368" s="255"/>
      <c r="I368" s="969"/>
      <c r="K368" s="1014"/>
      <c r="L368" s="952"/>
      <c r="M368" s="160"/>
      <c r="N368" s="994"/>
    </row>
    <row r="369" spans="1:14" ht="12.75">
      <c r="A369" s="1009"/>
      <c r="B369" s="152"/>
      <c r="C369" s="282"/>
      <c r="D369" s="255"/>
      <c r="E369" s="255"/>
      <c r="F369" s="255"/>
      <c r="G369" s="255"/>
      <c r="H369" s="255"/>
      <c r="I369" s="969"/>
      <c r="K369" s="1014"/>
      <c r="L369" s="952"/>
      <c r="M369" s="160"/>
      <c r="N369" s="994"/>
    </row>
    <row r="370" spans="1:14" ht="12.75">
      <c r="A370" s="1009"/>
      <c r="B370" s="152"/>
      <c r="C370" s="282"/>
      <c r="D370" s="255"/>
      <c r="E370" s="255"/>
      <c r="F370" s="255"/>
      <c r="G370" s="255"/>
      <c r="H370" s="255"/>
      <c r="I370" s="969"/>
      <c r="K370" s="1014"/>
      <c r="L370" s="952"/>
      <c r="M370" s="160"/>
      <c r="N370" s="994"/>
    </row>
    <row r="371" spans="1:14" ht="12.75">
      <c r="A371" s="1009"/>
      <c r="B371" s="152"/>
      <c r="C371" s="282"/>
      <c r="D371" s="255"/>
      <c r="E371" s="255"/>
      <c r="F371" s="255"/>
      <c r="G371" s="255"/>
      <c r="H371" s="255"/>
      <c r="I371" s="969"/>
      <c r="K371" s="1014"/>
      <c r="L371" s="952"/>
      <c r="M371" s="160"/>
      <c r="N371" s="994"/>
    </row>
    <row r="372" spans="1:14" ht="12.75">
      <c r="A372" s="1009"/>
      <c r="B372" s="152"/>
      <c r="C372" s="282"/>
      <c r="D372" s="255"/>
      <c r="E372" s="255"/>
      <c r="F372" s="255"/>
      <c r="G372" s="255"/>
      <c r="H372" s="255"/>
      <c r="I372" s="969"/>
      <c r="K372" s="1014"/>
      <c r="L372" s="952"/>
      <c r="M372" s="160"/>
      <c r="N372" s="994"/>
    </row>
    <row r="373" spans="1:14" ht="12.75">
      <c r="A373" s="1009"/>
      <c r="B373" s="152"/>
      <c r="C373" s="282"/>
      <c r="D373" s="255"/>
      <c r="E373" s="255"/>
      <c r="F373" s="255"/>
      <c r="G373" s="255"/>
      <c r="H373" s="255"/>
      <c r="I373" s="969"/>
      <c r="K373" s="1014"/>
      <c r="L373" s="952"/>
      <c r="M373" s="160"/>
      <c r="N373" s="994"/>
    </row>
    <row r="374" spans="1:14" ht="12.75">
      <c r="A374" s="1009"/>
      <c r="B374" s="152"/>
      <c r="C374" s="282"/>
      <c r="D374" s="255"/>
      <c r="E374" s="255"/>
      <c r="F374" s="255"/>
      <c r="G374" s="255"/>
      <c r="H374" s="255"/>
      <c r="I374" s="969"/>
      <c r="K374" s="1014"/>
      <c r="L374" s="952"/>
      <c r="M374" s="160"/>
      <c r="N374" s="994"/>
    </row>
    <row r="375" spans="1:14" ht="12.75">
      <c r="A375" s="1009"/>
      <c r="B375" s="152"/>
      <c r="C375" s="282"/>
      <c r="D375" s="255"/>
      <c r="E375" s="255"/>
      <c r="F375" s="255"/>
      <c r="G375" s="255"/>
      <c r="H375" s="255"/>
      <c r="I375" s="969"/>
      <c r="K375" s="1014"/>
      <c r="L375" s="952"/>
      <c r="M375" s="160"/>
      <c r="N375" s="994"/>
    </row>
    <row r="376" spans="1:14" ht="12.75">
      <c r="A376" s="1009"/>
      <c r="B376" s="152"/>
      <c r="C376" s="282"/>
      <c r="D376" s="255"/>
      <c r="E376" s="255"/>
      <c r="F376" s="255"/>
      <c r="G376" s="255"/>
      <c r="H376" s="255"/>
      <c r="I376" s="969"/>
      <c r="K376" s="1014"/>
      <c r="L376" s="952"/>
      <c r="M376" s="160"/>
      <c r="N376" s="994"/>
    </row>
    <row r="377" spans="1:14" ht="12.75">
      <c r="A377" s="1009"/>
      <c r="B377" s="152"/>
      <c r="C377" s="282"/>
      <c r="D377" s="255"/>
      <c r="E377" s="255"/>
      <c r="F377" s="255"/>
      <c r="G377" s="255"/>
      <c r="H377" s="255"/>
      <c r="I377" s="969"/>
      <c r="K377" s="1014"/>
      <c r="L377" s="952"/>
      <c r="M377" s="160"/>
      <c r="N377" s="994"/>
    </row>
    <row r="378" spans="1:13" ht="12.75">
      <c r="A378" s="152"/>
      <c r="B378" s="152"/>
      <c r="C378" s="152"/>
      <c r="D378" s="152"/>
      <c r="E378" s="109"/>
      <c r="F378" s="993"/>
      <c r="G378" s="109"/>
      <c r="H378" s="109"/>
      <c r="I378" s="191"/>
      <c r="J378" s="152"/>
      <c r="K378" s="876"/>
      <c r="L378" s="876"/>
      <c r="M378" s="876"/>
    </row>
    <row r="379" spans="1:8" ht="12.75">
      <c r="A379" s="152"/>
      <c r="B379" s="152"/>
      <c r="C379" s="152"/>
      <c r="D379" s="152"/>
      <c r="E379" s="109"/>
      <c r="F379" s="1249" t="s">
        <v>729</v>
      </c>
      <c r="G379" s="1249"/>
      <c r="H379" s="1249"/>
    </row>
    <row r="380" spans="1:13" ht="12.75" hidden="1">
      <c r="A380" s="152"/>
      <c r="B380" s="152"/>
      <c r="C380" s="152"/>
      <c r="D380" s="152"/>
      <c r="E380" s="109"/>
      <c r="F380" s="993"/>
      <c r="G380" s="109"/>
      <c r="H380" s="109"/>
      <c r="I380" s="272"/>
      <c r="J380" s="272"/>
      <c r="K380" s="272"/>
      <c r="L380" s="272"/>
      <c r="M380" s="272"/>
    </row>
    <row r="381" spans="1:8" ht="12.75">
      <c r="A381" s="858" t="s">
        <v>498</v>
      </c>
      <c r="B381" s="859"/>
      <c r="C381" s="995"/>
      <c r="D381" s="246">
        <v>2014</v>
      </c>
      <c r="E381" s="861" t="s">
        <v>108</v>
      </c>
      <c r="F381" s="862" t="s">
        <v>109</v>
      </c>
      <c r="G381" s="981" t="s">
        <v>110</v>
      </c>
      <c r="H381" s="862"/>
    </row>
    <row r="382" spans="1:13" s="1000" customFormat="1" ht="12">
      <c r="A382" s="869" t="s">
        <v>730</v>
      </c>
      <c r="B382" s="1045"/>
      <c r="C382" s="1045"/>
      <c r="D382" s="872">
        <f>D383+D384+D385+D386+D387+D388+D393+D394</f>
        <v>44600</v>
      </c>
      <c r="E382" s="1038">
        <f>E383+E384+E385+E386+E387+E388+E393+E394</f>
        <v>26437.45</v>
      </c>
      <c r="F382" s="1038">
        <f>F383+F384+F385+F387+F388+F393+F394+F386</f>
        <v>53550</v>
      </c>
      <c r="G382" s="1038">
        <f>G383+G384+G385+G387+G388+G393+G394+G386</f>
        <v>60920</v>
      </c>
      <c r="H382" s="1038">
        <f>H383+H384+H385+H387+H388+H393+H394</f>
        <v>0</v>
      </c>
      <c r="I382" s="997"/>
      <c r="J382" s="998"/>
      <c r="K382" s="999"/>
      <c r="L382" s="865"/>
      <c r="M382" s="866"/>
    </row>
    <row r="383" spans="1:13" s="289" customFormat="1" ht="11.25">
      <c r="A383" s="88" t="s">
        <v>731</v>
      </c>
      <c r="B383" s="89"/>
      <c r="C383" s="89" t="s">
        <v>473</v>
      </c>
      <c r="D383" s="1118">
        <v>3500</v>
      </c>
      <c r="E383" s="1119">
        <v>1089.44</v>
      </c>
      <c r="F383" s="1120">
        <v>3500</v>
      </c>
      <c r="G383" s="1118">
        <v>3100</v>
      </c>
      <c r="H383" s="1118">
        <v>0</v>
      </c>
      <c r="I383" s="1013"/>
      <c r="J383" s="255"/>
      <c r="K383" s="876"/>
      <c r="L383" s="876"/>
      <c r="M383" s="876"/>
    </row>
    <row r="384" spans="1:13" ht="12.75">
      <c r="A384" s="88" t="s">
        <v>731</v>
      </c>
      <c r="B384" s="89"/>
      <c r="C384" s="89" t="s">
        <v>474</v>
      </c>
      <c r="D384" s="1118">
        <v>6000</v>
      </c>
      <c r="E384" s="1119">
        <v>0</v>
      </c>
      <c r="F384" s="1120">
        <v>6000</v>
      </c>
      <c r="G384" s="1118">
        <v>5870</v>
      </c>
      <c r="H384" s="1118">
        <v>0</v>
      </c>
      <c r="I384" s="190"/>
      <c r="J384" s="59"/>
      <c r="K384" s="160"/>
      <c r="L384" s="152"/>
      <c r="M384" s="152"/>
    </row>
    <row r="385" spans="1:13" ht="12.75">
      <c r="A385" s="88" t="s">
        <v>477</v>
      </c>
      <c r="B385" s="89"/>
      <c r="C385" s="89" t="s">
        <v>732</v>
      </c>
      <c r="D385" s="1118">
        <v>600</v>
      </c>
      <c r="E385" s="1119">
        <v>0</v>
      </c>
      <c r="F385" s="1120">
        <v>500</v>
      </c>
      <c r="G385" s="1121">
        <v>770</v>
      </c>
      <c r="H385" s="1118">
        <v>0</v>
      </c>
      <c r="I385" s="190"/>
      <c r="J385" s="1122"/>
      <c r="K385" s="160"/>
      <c r="L385" s="152"/>
      <c r="M385" s="152"/>
    </row>
    <row r="386" spans="1:13" ht="12.75">
      <c r="A386" s="88" t="s">
        <v>477</v>
      </c>
      <c r="B386" s="89"/>
      <c r="C386" s="89" t="s">
        <v>733</v>
      </c>
      <c r="D386" s="93"/>
      <c r="E386" s="1123">
        <v>42</v>
      </c>
      <c r="F386" s="93">
        <v>100</v>
      </c>
      <c r="G386" s="1124">
        <v>1100</v>
      </c>
      <c r="H386" s="93"/>
      <c r="I386" s="190"/>
      <c r="J386" s="216"/>
      <c r="K386" s="190"/>
      <c r="L386" s="190"/>
      <c r="M386" s="190"/>
    </row>
    <row r="387" spans="1:13" ht="12.75">
      <c r="A387" s="1125" t="s">
        <v>734</v>
      </c>
      <c r="B387" s="89"/>
      <c r="C387" s="89" t="s">
        <v>735</v>
      </c>
      <c r="D387" s="1118">
        <v>1000</v>
      </c>
      <c r="E387" s="1119">
        <v>110</v>
      </c>
      <c r="F387" s="1120">
        <v>1000</v>
      </c>
      <c r="G387" s="1118">
        <v>1000</v>
      </c>
      <c r="H387" s="1118">
        <v>0</v>
      </c>
      <c r="I387" s="190"/>
      <c r="J387" s="216"/>
      <c r="K387" s="190"/>
      <c r="L387" s="190"/>
      <c r="M387" s="152"/>
    </row>
    <row r="388" spans="1:14" s="87" customFormat="1" ht="12.75">
      <c r="A388" s="1126" t="s">
        <v>736</v>
      </c>
      <c r="B388" s="1127"/>
      <c r="C388" s="1086" t="s">
        <v>737</v>
      </c>
      <c r="D388" s="93">
        <f>SUM(D389,D390,D391,D392)</f>
        <v>16000</v>
      </c>
      <c r="E388" s="1123">
        <f>SUM(E389,E390,E391,E392)</f>
        <v>12164.199999999999</v>
      </c>
      <c r="F388" s="93">
        <f>SUM(F389,F390,F391,F392)</f>
        <v>21500</v>
      </c>
      <c r="G388" s="93">
        <f>G389+G390+G391+G392</f>
        <v>25590</v>
      </c>
      <c r="H388" s="93">
        <f>SUM(H389,H391,H392)</f>
        <v>0</v>
      </c>
      <c r="I388" s="190"/>
      <c r="J388" s="216"/>
      <c r="K388" s="190"/>
      <c r="L388" s="190"/>
      <c r="M388" s="190"/>
      <c r="N388" s="54"/>
    </row>
    <row r="389" spans="1:13" ht="12.75">
      <c r="A389" s="88"/>
      <c r="B389" s="878" t="s">
        <v>707</v>
      </c>
      <c r="C389" s="986" t="s">
        <v>538</v>
      </c>
      <c r="D389" s="119">
        <v>1000</v>
      </c>
      <c r="E389" s="1077">
        <v>1627.24</v>
      </c>
      <c r="F389" s="951">
        <v>3000</v>
      </c>
      <c r="G389" s="119">
        <v>2790</v>
      </c>
      <c r="H389" s="119">
        <v>0</v>
      </c>
      <c r="I389" s="1128"/>
      <c r="J389" s="216"/>
      <c r="K389" s="190"/>
      <c r="L389" s="190"/>
      <c r="M389" s="190"/>
    </row>
    <row r="390" spans="1:13" ht="12.75">
      <c r="A390" s="88"/>
      <c r="B390" s="878">
        <v>611</v>
      </c>
      <c r="C390" s="891" t="s">
        <v>738</v>
      </c>
      <c r="D390" s="953">
        <v>14000</v>
      </c>
      <c r="E390" s="955">
        <v>8983.14</v>
      </c>
      <c r="F390" s="915">
        <v>16000</v>
      </c>
      <c r="G390" s="953">
        <v>18800</v>
      </c>
      <c r="H390" s="953"/>
      <c r="I390" s="1128"/>
      <c r="J390" s="216"/>
      <c r="K390" s="190"/>
      <c r="L390" s="190"/>
      <c r="M390" s="190"/>
    </row>
    <row r="391" spans="1:13" ht="12.75">
      <c r="A391" s="88"/>
      <c r="B391" s="878" t="s">
        <v>709</v>
      </c>
      <c r="C391" s="986" t="s">
        <v>421</v>
      </c>
      <c r="D391" s="119">
        <v>1000</v>
      </c>
      <c r="E391" s="1077">
        <v>1553.82</v>
      </c>
      <c r="F391" s="951">
        <v>2500</v>
      </c>
      <c r="G391" s="119">
        <v>4000</v>
      </c>
      <c r="H391" s="119">
        <v>0</v>
      </c>
      <c r="I391" s="1129"/>
      <c r="J391" s="216"/>
      <c r="K391" s="190"/>
      <c r="L391" s="1130"/>
      <c r="M391" s="969"/>
    </row>
    <row r="392" spans="1:13" ht="12.75">
      <c r="A392" s="88"/>
      <c r="B392" s="878">
        <v>642</v>
      </c>
      <c r="C392" s="986" t="s">
        <v>359</v>
      </c>
      <c r="D392" s="119">
        <v>0</v>
      </c>
      <c r="E392" s="1077">
        <v>0</v>
      </c>
      <c r="F392" s="951">
        <v>0</v>
      </c>
      <c r="G392" s="119">
        <v>0</v>
      </c>
      <c r="H392" s="119">
        <v>0</v>
      </c>
      <c r="I392" s="1129"/>
      <c r="J392" s="216"/>
      <c r="K392" s="190"/>
      <c r="L392" s="1130"/>
      <c r="M392" s="969"/>
    </row>
    <row r="393" spans="1:13" ht="12.75">
      <c r="A393" s="1126" t="s">
        <v>731</v>
      </c>
      <c r="B393" s="1085"/>
      <c r="C393" s="986" t="s">
        <v>739</v>
      </c>
      <c r="D393" s="1118">
        <v>0</v>
      </c>
      <c r="E393" s="1119">
        <v>0</v>
      </c>
      <c r="F393" s="1120">
        <v>0</v>
      </c>
      <c r="G393" s="1118">
        <v>0</v>
      </c>
      <c r="H393" s="1118">
        <v>0</v>
      </c>
      <c r="I393" s="1129"/>
      <c r="J393" s="216"/>
      <c r="K393" s="190"/>
      <c r="L393" s="1130"/>
      <c r="M393" s="190"/>
    </row>
    <row r="394" spans="1:13" ht="12.75">
      <c r="A394" s="1126" t="s">
        <v>740</v>
      </c>
      <c r="B394" s="1085"/>
      <c r="C394" s="1086" t="s">
        <v>741</v>
      </c>
      <c r="D394" s="93">
        <f>SUM(D395,D396,D397,D398)+D399</f>
        <v>17500</v>
      </c>
      <c r="E394" s="1123">
        <f>SUM(E395,E396,E397,E398,E399)</f>
        <v>13031.810000000001</v>
      </c>
      <c r="F394" s="93">
        <f>SUM(F395,F396,F397,F398,F399)</f>
        <v>20950</v>
      </c>
      <c r="G394" s="93">
        <f>SUM(G395,G396,G397,G398+G399)</f>
        <v>23490</v>
      </c>
      <c r="H394" s="93">
        <f>SUM(H395,H396,H397,H398)</f>
        <v>0</v>
      </c>
      <c r="I394" s="1128"/>
      <c r="J394" s="216"/>
      <c r="K394" s="190"/>
      <c r="L394" s="190"/>
      <c r="M394" s="190"/>
    </row>
    <row r="395" spans="1:13" ht="12.75">
      <c r="A395" s="1126" t="s">
        <v>734</v>
      </c>
      <c r="B395" s="1085">
        <v>642</v>
      </c>
      <c r="C395" s="1086" t="s">
        <v>742</v>
      </c>
      <c r="D395" s="229">
        <v>0</v>
      </c>
      <c r="E395" s="1039">
        <v>0</v>
      </c>
      <c r="F395" s="284">
        <v>0</v>
      </c>
      <c r="G395" s="229">
        <v>0</v>
      </c>
      <c r="H395" s="229">
        <v>0</v>
      </c>
      <c r="I395" s="1128"/>
      <c r="J395" s="216"/>
      <c r="K395" s="190"/>
      <c r="L395" s="190"/>
      <c r="M395" s="190"/>
    </row>
    <row r="396" spans="1:13" ht="12.75">
      <c r="A396" s="88" t="s">
        <v>743</v>
      </c>
      <c r="B396" s="89"/>
      <c r="C396" s="89" t="s">
        <v>744</v>
      </c>
      <c r="D396" s="229">
        <v>0</v>
      </c>
      <c r="E396" s="1039">
        <v>0</v>
      </c>
      <c r="F396" s="284">
        <v>0</v>
      </c>
      <c r="G396" s="229">
        <v>0</v>
      </c>
      <c r="H396" s="229">
        <v>0</v>
      </c>
      <c r="I396" s="1129"/>
      <c r="J396" s="216"/>
      <c r="K396" s="969"/>
      <c r="L396" s="1131"/>
      <c r="M396" s="190"/>
    </row>
    <row r="397" spans="1:13" ht="12.75">
      <c r="A397" s="1132" t="s">
        <v>743</v>
      </c>
      <c r="B397" s="1133"/>
      <c r="C397" s="1133" t="s">
        <v>745</v>
      </c>
      <c r="D397" s="1134">
        <v>14500</v>
      </c>
      <c r="E397" s="1135">
        <v>8625.95</v>
      </c>
      <c r="F397" s="1136">
        <v>14500</v>
      </c>
      <c r="G397" s="1134">
        <v>13620</v>
      </c>
      <c r="H397" s="1134">
        <v>0</v>
      </c>
      <c r="I397" s="969"/>
      <c r="J397" s="1010"/>
      <c r="K397" s="969"/>
      <c r="L397" s="190"/>
      <c r="M397" s="190"/>
    </row>
    <row r="398" spans="1:13" ht="12.75">
      <c r="A398" s="912" t="s">
        <v>743</v>
      </c>
      <c r="B398" s="913"/>
      <c r="C398" s="913" t="s">
        <v>746</v>
      </c>
      <c r="D398" s="1134">
        <v>1500</v>
      </c>
      <c r="E398" s="1135">
        <v>749.7</v>
      </c>
      <c r="F398" s="1136">
        <v>1350</v>
      </c>
      <c r="G398" s="1134">
        <v>2050</v>
      </c>
      <c r="H398" s="1134">
        <v>0</v>
      </c>
      <c r="I398" s="1068"/>
      <c r="J398" s="1137"/>
      <c r="K398" s="1138"/>
      <c r="L398" s="1139"/>
      <c r="M398" s="1138"/>
    </row>
    <row r="399" spans="1:13" ht="12.75">
      <c r="A399" s="1140" t="s">
        <v>743</v>
      </c>
      <c r="B399" s="913"/>
      <c r="C399" s="1141" t="s">
        <v>747</v>
      </c>
      <c r="D399" s="1134">
        <v>1500</v>
      </c>
      <c r="E399" s="1134">
        <v>3656.16</v>
      </c>
      <c r="F399" s="1136">
        <v>5100</v>
      </c>
      <c r="G399" s="1134">
        <v>7820</v>
      </c>
      <c r="H399" s="1134"/>
      <c r="I399" s="1068"/>
      <c r="J399" s="1137"/>
      <c r="K399" s="1138"/>
      <c r="L399" s="1139"/>
      <c r="M399" s="1138"/>
    </row>
    <row r="400" spans="1:13" s="1149" customFormat="1" ht="12.75">
      <c r="A400" s="1142" t="s">
        <v>324</v>
      </c>
      <c r="B400" s="1143"/>
      <c r="C400" s="1144" t="s">
        <v>748</v>
      </c>
      <c r="D400" s="1145">
        <f>SUM(D382)</f>
        <v>44600</v>
      </c>
      <c r="E400" s="1145">
        <f>SUM(E382)</f>
        <v>26437.45</v>
      </c>
      <c r="F400" s="1145">
        <f>SUM(F382)</f>
        <v>53550</v>
      </c>
      <c r="G400" s="1145">
        <f>SUM(G382)</f>
        <v>60920</v>
      </c>
      <c r="H400" s="1146">
        <f>SUM(H382)</f>
        <v>0</v>
      </c>
      <c r="I400" s="1068"/>
      <c r="J400" s="1122"/>
      <c r="K400" s="1147"/>
      <c r="L400" s="1148"/>
      <c r="M400" s="1147"/>
    </row>
    <row r="401" spans="1:13" ht="12.75">
      <c r="A401" s="1150" t="s">
        <v>749</v>
      </c>
      <c r="B401" s="1151"/>
      <c r="C401" s="1152"/>
      <c r="D401" s="1153">
        <f>SUM(D91,D104,D146,D196,D229,D247,D261,D320,D362,D400)</f>
        <v>1379749</v>
      </c>
      <c r="E401" s="1153">
        <f>SUM(E91,E104,E146,E196,E229,E247,E261,E320,E362,E400)</f>
        <v>681558.09</v>
      </c>
      <c r="F401" s="1154">
        <f>F91+F104+F146+F196+F229+F247+F261+F320+F362+F400</f>
        <v>1406385</v>
      </c>
      <c r="G401" s="1154">
        <f>G91+G104+G146+G196+G229+G247+G261+G320+G362+G400</f>
        <v>1497658.2</v>
      </c>
      <c r="H401" s="1155">
        <f>H91+H104+H146+H196+H229+H247+H261+H320+H362+H400</f>
        <v>0</v>
      </c>
      <c r="I401" s="191"/>
      <c r="J401" s="255"/>
      <c r="K401" s="876"/>
      <c r="L401" s="876"/>
      <c r="M401" s="876"/>
    </row>
    <row r="402" spans="1:14" ht="12.75">
      <c r="A402" s="282"/>
      <c r="B402" s="58"/>
      <c r="C402" s="282"/>
      <c r="D402" s="282"/>
      <c r="E402" s="283"/>
      <c r="F402" s="283"/>
      <c r="G402" s="283"/>
      <c r="H402" s="1011"/>
      <c r="I402" s="191"/>
      <c r="J402" s="59"/>
      <c r="K402" s="876"/>
      <c r="L402" s="876"/>
      <c r="M402" s="876"/>
      <c r="N402" s="1016"/>
    </row>
    <row r="403" spans="1:8" ht="12.75" hidden="1">
      <c r="A403" s="282"/>
      <c r="B403" s="58"/>
      <c r="C403" s="282"/>
      <c r="D403" s="282"/>
      <c r="E403" s="283"/>
      <c r="F403" s="283"/>
      <c r="G403" s="283"/>
      <c r="H403" s="1011"/>
    </row>
    <row r="404" spans="1:8" ht="12.75" hidden="1">
      <c r="A404" s="282"/>
      <c r="B404" s="58"/>
      <c r="C404" s="282"/>
      <c r="D404" s="282"/>
      <c r="E404" s="283"/>
      <c r="F404" s="283"/>
      <c r="G404" s="283"/>
      <c r="H404" s="1011"/>
    </row>
    <row r="405" spans="1:8" ht="12.75" hidden="1">
      <c r="A405" s="282"/>
      <c r="B405" s="58"/>
      <c r="C405" s="282"/>
      <c r="D405" s="282"/>
      <c r="E405" s="283"/>
      <c r="F405" s="283"/>
      <c r="G405" s="1156"/>
      <c r="H405" s="1011"/>
    </row>
    <row r="406" spans="1:8" ht="12.75" hidden="1">
      <c r="A406" s="282"/>
      <c r="B406" s="58"/>
      <c r="C406" s="282"/>
      <c r="D406" s="282"/>
      <c r="E406" s="283"/>
      <c r="F406" s="283"/>
      <c r="G406" s="283"/>
      <c r="H406" s="1011"/>
    </row>
    <row r="407" spans="1:8" ht="12.75" hidden="1">
      <c r="A407" s="282"/>
      <c r="B407" s="58"/>
      <c r="C407" s="282"/>
      <c r="D407" s="282"/>
      <c r="E407" s="283"/>
      <c r="F407" s="283"/>
      <c r="G407" s="283"/>
      <c r="H407" s="1011"/>
    </row>
    <row r="408" spans="1:8" ht="12.75" hidden="1">
      <c r="A408" s="282"/>
      <c r="B408" s="58"/>
      <c r="C408" s="282"/>
      <c r="D408" s="282"/>
      <c r="E408" s="283"/>
      <c r="F408" s="283"/>
      <c r="G408" s="283"/>
      <c r="H408" s="1011"/>
    </row>
    <row r="409" spans="1:8" ht="12.75" hidden="1">
      <c r="A409" s="282"/>
      <c r="B409" s="58"/>
      <c r="C409" s="282"/>
      <c r="D409" s="282"/>
      <c r="E409" s="283"/>
      <c r="F409" s="283"/>
      <c r="G409" s="283"/>
      <c r="H409" s="1011"/>
    </row>
    <row r="410" spans="1:8" ht="12.75" hidden="1">
      <c r="A410" s="282"/>
      <c r="B410" s="58"/>
      <c r="C410" s="282"/>
      <c r="D410" s="282"/>
      <c r="E410" s="283"/>
      <c r="F410" s="283"/>
      <c r="G410" s="283"/>
      <c r="H410" s="1011"/>
    </row>
    <row r="411" spans="1:8" ht="12.75" hidden="1">
      <c r="A411" s="282"/>
      <c r="B411" s="58"/>
      <c r="C411" s="282"/>
      <c r="D411" s="282"/>
      <c r="E411" s="283"/>
      <c r="F411" s="283"/>
      <c r="G411" s="283"/>
      <c r="H411" s="1011"/>
    </row>
    <row r="412" spans="1:8" ht="12.75" hidden="1">
      <c r="A412" s="282"/>
      <c r="B412" s="58"/>
      <c r="C412" s="282"/>
      <c r="D412" s="282"/>
      <c r="E412" s="283"/>
      <c r="F412" s="283"/>
      <c r="G412" s="283"/>
      <c r="H412" s="1011"/>
    </row>
    <row r="413" spans="1:8" ht="12.75" hidden="1">
      <c r="A413" s="282"/>
      <c r="B413" s="58"/>
      <c r="C413" s="282"/>
      <c r="D413" s="282"/>
      <c r="E413" s="283"/>
      <c r="F413" s="283"/>
      <c r="G413" s="283"/>
      <c r="H413" s="1011"/>
    </row>
    <row r="414" spans="1:8" ht="12.75" hidden="1">
      <c r="A414" s="282"/>
      <c r="B414" s="58"/>
      <c r="C414" s="282"/>
      <c r="D414" s="282"/>
      <c r="E414" s="283"/>
      <c r="F414" s="283"/>
      <c r="G414" s="283"/>
      <c r="H414" s="1011"/>
    </row>
    <row r="415" spans="1:8" ht="12.75" hidden="1">
      <c r="A415" s="282"/>
      <c r="B415" s="58"/>
      <c r="C415" s="282"/>
      <c r="D415" s="282"/>
      <c r="E415" s="283"/>
      <c r="F415" s="283"/>
      <c r="G415" s="283"/>
      <c r="H415" s="1011"/>
    </row>
    <row r="416" spans="1:8" ht="12.75" hidden="1">
      <c r="A416" s="282"/>
      <c r="B416" s="58"/>
      <c r="C416" s="282"/>
      <c r="D416" s="282"/>
      <c r="E416" s="283"/>
      <c r="F416" s="283"/>
      <c r="G416" s="283"/>
      <c r="H416" s="1011"/>
    </row>
    <row r="417" spans="1:8" ht="12.75" hidden="1">
      <c r="A417" s="282"/>
      <c r="B417" s="58"/>
      <c r="C417" s="282"/>
      <c r="D417" s="282"/>
      <c r="E417" s="283"/>
      <c r="F417" s="283"/>
      <c r="G417" s="283"/>
      <c r="H417" s="1011"/>
    </row>
    <row r="418" spans="1:8" ht="12.75" hidden="1">
      <c r="A418" s="282"/>
      <c r="B418" s="58"/>
      <c r="C418" s="856" t="s">
        <v>499</v>
      </c>
      <c r="D418" s="856"/>
      <c r="E418" s="283"/>
      <c r="F418" s="283"/>
      <c r="G418" s="283"/>
      <c r="H418" s="1011"/>
    </row>
    <row r="419" spans="1:8" ht="12.75">
      <c r="A419" s="282"/>
      <c r="B419" s="58"/>
      <c r="C419" s="282"/>
      <c r="D419" s="282"/>
      <c r="E419" s="283"/>
      <c r="F419" s="283"/>
      <c r="G419" s="283"/>
      <c r="H419" s="1011"/>
    </row>
    <row r="420" spans="1:8" ht="12.75">
      <c r="A420" s="858" t="s">
        <v>499</v>
      </c>
      <c r="B420" s="859"/>
      <c r="C420" s="1157"/>
      <c r="D420" s="246">
        <v>2014</v>
      </c>
      <c r="E420" s="861" t="s">
        <v>108</v>
      </c>
      <c r="F420" s="862" t="s">
        <v>109</v>
      </c>
      <c r="G420" s="981" t="s">
        <v>110</v>
      </c>
      <c r="H420" s="862"/>
    </row>
    <row r="421" spans="1:13" s="1000" customFormat="1" ht="12">
      <c r="A421" s="1158" t="s">
        <v>537</v>
      </c>
      <c r="B421" s="1159"/>
      <c r="C421" s="1160"/>
      <c r="D421" s="1161">
        <v>0</v>
      </c>
      <c r="E421" s="1161">
        <v>0</v>
      </c>
      <c r="F421" s="1161">
        <v>0</v>
      </c>
      <c r="G421" s="1161">
        <f>G422</f>
        <v>200</v>
      </c>
      <c r="H421" s="1161">
        <v>0</v>
      </c>
      <c r="I421" s="997"/>
      <c r="J421" s="998"/>
      <c r="K421" s="999"/>
      <c r="L421" s="865"/>
      <c r="M421" s="866"/>
    </row>
    <row r="422" spans="1:13" s="289" customFormat="1" ht="11.25">
      <c r="A422" s="88">
        <v>711</v>
      </c>
      <c r="B422" s="89" t="s">
        <v>114</v>
      </c>
      <c r="C422" s="90" t="s">
        <v>258</v>
      </c>
      <c r="D422" s="119">
        <v>0</v>
      </c>
      <c r="E422" s="119">
        <v>0</v>
      </c>
      <c r="F422" s="951">
        <v>0</v>
      </c>
      <c r="G422" s="119">
        <v>200</v>
      </c>
      <c r="H422" s="119">
        <v>0</v>
      </c>
      <c r="I422" s="161"/>
      <c r="J422" s="1003"/>
      <c r="K422" s="1003"/>
      <c r="L422" s="1003"/>
      <c r="M422" s="1003"/>
    </row>
    <row r="423" spans="1:12" ht="12.75">
      <c r="A423" s="1018"/>
      <c r="B423" s="152"/>
      <c r="C423" s="152"/>
      <c r="D423" s="978"/>
      <c r="E423" s="978"/>
      <c r="F423" s="230"/>
      <c r="G423" s="978"/>
      <c r="H423" s="1162"/>
      <c r="I423" s="160"/>
      <c r="K423" s="152"/>
      <c r="L423" s="152"/>
    </row>
    <row r="424" spans="1:12" ht="12.75">
      <c r="A424" s="1163" t="s">
        <v>617</v>
      </c>
      <c r="B424" s="1159"/>
      <c r="C424" s="1160"/>
      <c r="D424" s="1161">
        <f>SUM(D425,D426)</f>
        <v>6000</v>
      </c>
      <c r="E424" s="1161">
        <v>0</v>
      </c>
      <c r="F424" s="1161">
        <f>F425</f>
        <v>0</v>
      </c>
      <c r="G424" s="1161">
        <f>G425</f>
        <v>3500</v>
      </c>
      <c r="H424" s="1161">
        <f>H425</f>
        <v>0</v>
      </c>
      <c r="I424" s="160"/>
      <c r="K424" s="152"/>
      <c r="L424" s="152"/>
    </row>
    <row r="425" spans="1:13" ht="12.75">
      <c r="A425" s="178">
        <v>713</v>
      </c>
      <c r="B425" s="143" t="s">
        <v>133</v>
      </c>
      <c r="C425" s="144" t="s">
        <v>750</v>
      </c>
      <c r="D425" s="228">
        <v>3000</v>
      </c>
      <c r="E425" s="228">
        <v>0</v>
      </c>
      <c r="F425" s="880">
        <v>0</v>
      </c>
      <c r="G425" s="228">
        <v>3500</v>
      </c>
      <c r="H425" s="228">
        <v>0</v>
      </c>
      <c r="I425" s="161"/>
      <c r="J425" s="1003"/>
      <c r="K425" s="1003"/>
      <c r="L425" s="1003"/>
      <c r="M425" s="1003"/>
    </row>
    <row r="426" spans="1:12" ht="12.75">
      <c r="A426" s="1164">
        <v>713</v>
      </c>
      <c r="B426" s="1165" t="s">
        <v>133</v>
      </c>
      <c r="C426" s="1166" t="s">
        <v>751</v>
      </c>
      <c r="D426" s="953">
        <v>3000</v>
      </c>
      <c r="E426" s="953">
        <v>0</v>
      </c>
      <c r="F426" s="1110">
        <v>0</v>
      </c>
      <c r="G426" s="1108">
        <v>0</v>
      </c>
      <c r="H426" s="1108">
        <v>0</v>
      </c>
      <c r="I426" s="160"/>
      <c r="K426" s="152"/>
      <c r="L426" s="152"/>
    </row>
    <row r="427" spans="1:13" ht="12.75">
      <c r="A427" s="947"/>
      <c r="B427" s="123"/>
      <c r="C427" s="123"/>
      <c r="D427" s="853"/>
      <c r="F427" s="59"/>
      <c r="H427" s="1167"/>
      <c r="I427" s="935"/>
      <c r="J427" s="920"/>
      <c r="K427" s="934"/>
      <c r="L427" s="934"/>
      <c r="M427" s="920"/>
    </row>
    <row r="428" spans="1:14" s="87" customFormat="1" ht="12.75">
      <c r="A428" s="1287" t="s">
        <v>752</v>
      </c>
      <c r="B428" s="1287"/>
      <c r="C428" s="1287"/>
      <c r="D428" s="1168">
        <v>0</v>
      </c>
      <c r="E428" s="1168">
        <v>0</v>
      </c>
      <c r="F428" s="1168">
        <v>0</v>
      </c>
      <c r="G428" s="1168">
        <v>0</v>
      </c>
      <c r="H428" s="1168">
        <v>0</v>
      </c>
      <c r="I428" s="160"/>
      <c r="J428" s="58"/>
      <c r="K428" s="58"/>
      <c r="L428" s="152"/>
      <c r="M428" s="58"/>
      <c r="N428" s="54"/>
    </row>
    <row r="429" spans="1:13" s="289" customFormat="1" ht="11.25">
      <c r="A429" s="100">
        <v>717</v>
      </c>
      <c r="B429" s="101" t="s">
        <v>117</v>
      </c>
      <c r="C429" s="102" t="s">
        <v>753</v>
      </c>
      <c r="D429" s="229"/>
      <c r="E429" s="229"/>
      <c r="F429" s="284"/>
      <c r="G429" s="229"/>
      <c r="H429" s="229"/>
      <c r="I429" s="161"/>
      <c r="J429" s="1003"/>
      <c r="K429" s="1003"/>
      <c r="L429" s="1003"/>
      <c r="M429" s="1003"/>
    </row>
    <row r="430" spans="1:14" s="87" customFormat="1" ht="12.75">
      <c r="A430" s="947"/>
      <c r="B430" s="123"/>
      <c r="C430" s="123"/>
      <c r="D430" s="853"/>
      <c r="E430" s="853"/>
      <c r="F430" s="59"/>
      <c r="G430" s="853"/>
      <c r="H430" s="1167"/>
      <c r="I430" s="160"/>
      <c r="J430" s="58"/>
      <c r="K430" s="1014"/>
      <c r="L430" s="152"/>
      <c r="M430" s="58"/>
      <c r="N430" s="54"/>
    </row>
    <row r="431" spans="1:12" ht="12.75">
      <c r="A431" s="1169" t="s">
        <v>754</v>
      </c>
      <c r="B431" s="1170"/>
      <c r="C431" s="1171"/>
      <c r="D431" s="1168">
        <v>0</v>
      </c>
      <c r="E431" s="1168">
        <v>0</v>
      </c>
      <c r="F431" s="1168">
        <f>SUM(F432)</f>
        <v>20000</v>
      </c>
      <c r="G431" s="1168">
        <f>G432</f>
        <v>20000</v>
      </c>
      <c r="H431" s="1168">
        <v>0</v>
      </c>
      <c r="I431" s="160"/>
      <c r="L431" s="152"/>
    </row>
    <row r="432" spans="1:13" s="289" customFormat="1" ht="12.75">
      <c r="A432" s="100">
        <v>717</v>
      </c>
      <c r="B432" s="101" t="s">
        <v>114</v>
      </c>
      <c r="C432" s="102" t="s">
        <v>370</v>
      </c>
      <c r="D432" s="948"/>
      <c r="E432" s="948"/>
      <c r="F432" s="284">
        <v>20000</v>
      </c>
      <c r="G432" s="229">
        <v>20000</v>
      </c>
      <c r="H432" s="948"/>
      <c r="I432" s="161"/>
      <c r="J432" s="1003"/>
      <c r="K432" s="1003"/>
      <c r="L432" s="1003"/>
      <c r="M432" s="1003"/>
    </row>
    <row r="433" spans="1:12" ht="12.75">
      <c r="A433" s="947"/>
      <c r="B433" s="123"/>
      <c r="C433" s="123"/>
      <c r="D433" s="853"/>
      <c r="F433" s="59"/>
      <c r="H433" s="1167"/>
      <c r="I433" s="160"/>
      <c r="J433" s="137"/>
      <c r="L433" s="152"/>
    </row>
    <row r="434" spans="1:14" s="87" customFormat="1" ht="12.75">
      <c r="A434" s="1158" t="s">
        <v>663</v>
      </c>
      <c r="B434" s="1159"/>
      <c r="C434" s="1160"/>
      <c r="D434" s="1172">
        <f>SUM(D436)</f>
        <v>467500</v>
      </c>
      <c r="E434" s="1172">
        <f>SUM(E435,E436)</f>
        <v>5940</v>
      </c>
      <c r="F434" s="1172">
        <f>F435+F436</f>
        <v>250000</v>
      </c>
      <c r="G434" s="1172">
        <f>G435+G436</f>
        <v>250000</v>
      </c>
      <c r="H434" s="1172">
        <f>H435+H436</f>
        <v>0</v>
      </c>
      <c r="I434" s="160"/>
      <c r="J434" s="137"/>
      <c r="K434" s="58"/>
      <c r="L434" s="152"/>
      <c r="M434" s="58"/>
      <c r="N434" s="54"/>
    </row>
    <row r="435" spans="1:14" s="1173" customFormat="1" ht="11.25">
      <c r="A435" s="100">
        <v>717</v>
      </c>
      <c r="B435" s="101" t="s">
        <v>114</v>
      </c>
      <c r="C435" s="102" t="s">
        <v>370</v>
      </c>
      <c r="D435" s="229"/>
      <c r="E435" s="229">
        <v>5940</v>
      </c>
      <c r="F435" s="284">
        <v>5940</v>
      </c>
      <c r="G435" s="229">
        <v>5940</v>
      </c>
      <c r="H435" s="229">
        <v>0</v>
      </c>
      <c r="I435" s="161"/>
      <c r="J435" s="1003"/>
      <c r="K435" s="161"/>
      <c r="L435" s="1003"/>
      <c r="M435" s="1003"/>
      <c r="N435" s="289"/>
    </row>
    <row r="436" spans="1:14" s="87" customFormat="1" ht="12.75">
      <c r="A436" s="100">
        <v>717</v>
      </c>
      <c r="B436" s="101" t="s">
        <v>114</v>
      </c>
      <c r="C436" s="102" t="s">
        <v>755</v>
      </c>
      <c r="D436" s="229">
        <v>467500</v>
      </c>
      <c r="E436" s="229"/>
      <c r="F436" s="284">
        <v>244060</v>
      </c>
      <c r="G436" s="229">
        <v>244060</v>
      </c>
      <c r="H436" s="229">
        <v>0</v>
      </c>
      <c r="I436" s="969"/>
      <c r="J436" s="58"/>
      <c r="K436" s="969"/>
      <c r="L436" s="1014"/>
      <c r="M436" s="58"/>
      <c r="N436" s="54"/>
    </row>
    <row r="437" spans="1:14" s="87" customFormat="1" ht="12.75">
      <c r="A437" s="947"/>
      <c r="B437" s="123"/>
      <c r="C437" s="123"/>
      <c r="D437" s="978"/>
      <c r="E437" s="978"/>
      <c r="F437" s="230"/>
      <c r="G437" s="978"/>
      <c r="H437" s="1162"/>
      <c r="I437" s="969"/>
      <c r="J437" s="58"/>
      <c r="K437" s="969"/>
      <c r="L437" s="1014"/>
      <c r="M437" s="58"/>
      <c r="N437" s="54"/>
    </row>
    <row r="438" spans="1:14" s="87" customFormat="1" ht="12.75">
      <c r="A438" s="1158" t="s">
        <v>756</v>
      </c>
      <c r="B438" s="1159"/>
      <c r="C438" s="1160"/>
      <c r="D438" s="1168">
        <f>SUM(D439,D440,D441,D442,D443,D444,D445)</f>
        <v>60000</v>
      </c>
      <c r="E438" s="1168">
        <f>SUM(E439,E440,E441,E442,E443,E445)</f>
        <v>0</v>
      </c>
      <c r="F438" s="1168">
        <f>SUM(F439,F440,F441,F442,F443,F445)</f>
        <v>26960</v>
      </c>
      <c r="G438" s="1168">
        <f>SUM(G439,G440,G441,G442,G443,G445)</f>
        <v>4204</v>
      </c>
      <c r="H438" s="1168">
        <f>SUM(H439,H440,H441,H442,H443,H445)</f>
        <v>0</v>
      </c>
      <c r="I438" s="969"/>
      <c r="J438" s="58"/>
      <c r="K438" s="969"/>
      <c r="L438" s="1014"/>
      <c r="M438" s="58"/>
      <c r="N438" s="54"/>
    </row>
    <row r="439" spans="1:13" s="289" customFormat="1" ht="11.25">
      <c r="A439" s="100">
        <v>717</v>
      </c>
      <c r="B439" s="101" t="s">
        <v>114</v>
      </c>
      <c r="C439" s="102" t="s">
        <v>95</v>
      </c>
      <c r="D439" s="229">
        <v>60000</v>
      </c>
      <c r="E439" s="229">
        <v>0</v>
      </c>
      <c r="F439" s="284">
        <v>26960</v>
      </c>
      <c r="G439" s="229">
        <v>0</v>
      </c>
      <c r="H439" s="229">
        <v>0</v>
      </c>
      <c r="I439" s="161"/>
      <c r="J439" s="1003"/>
      <c r="K439" s="161"/>
      <c r="L439" s="161"/>
      <c r="M439" s="161"/>
    </row>
    <row r="440" spans="1:13" s="87" customFormat="1" ht="12.75">
      <c r="A440" s="100">
        <v>716</v>
      </c>
      <c r="B440" s="101"/>
      <c r="C440" s="102" t="s">
        <v>385</v>
      </c>
      <c r="D440" s="229">
        <v>0</v>
      </c>
      <c r="E440" s="229">
        <v>0</v>
      </c>
      <c r="F440" s="284">
        <v>0</v>
      </c>
      <c r="G440" s="229">
        <v>0</v>
      </c>
      <c r="H440" s="229">
        <v>0</v>
      </c>
      <c r="I440" s="160"/>
      <c r="J440" s="58"/>
      <c r="K440" s="152"/>
      <c r="L440" s="152"/>
      <c r="M440" s="152"/>
    </row>
    <row r="441" spans="1:13" ht="12.75">
      <c r="A441" s="100">
        <v>717</v>
      </c>
      <c r="B441" s="101" t="s">
        <v>114</v>
      </c>
      <c r="C441" s="102" t="s">
        <v>706</v>
      </c>
      <c r="D441" s="229">
        <v>0</v>
      </c>
      <c r="E441" s="229">
        <v>0</v>
      </c>
      <c r="F441" s="284">
        <v>0</v>
      </c>
      <c r="G441" s="229">
        <v>0</v>
      </c>
      <c r="H441" s="229">
        <v>0</v>
      </c>
      <c r="I441" s="160"/>
      <c r="J441" s="137"/>
      <c r="K441" s="160"/>
      <c r="L441" s="152"/>
      <c r="M441" s="152"/>
    </row>
    <row r="442" spans="1:13" ht="12.75">
      <c r="A442" s="100">
        <v>717</v>
      </c>
      <c r="B442" s="101" t="s">
        <v>114</v>
      </c>
      <c r="C442" s="102" t="s">
        <v>757</v>
      </c>
      <c r="D442" s="229">
        <v>0</v>
      </c>
      <c r="E442" s="229">
        <v>0</v>
      </c>
      <c r="F442" s="284">
        <v>0</v>
      </c>
      <c r="G442" s="229">
        <v>0</v>
      </c>
      <c r="H442" s="229">
        <v>0</v>
      </c>
      <c r="I442" s="160"/>
      <c r="J442" s="137"/>
      <c r="K442" s="152"/>
      <c r="L442" s="152"/>
      <c r="M442" s="152"/>
    </row>
    <row r="443" spans="1:14" s="87" customFormat="1" ht="12.75">
      <c r="A443" s="100">
        <v>717</v>
      </c>
      <c r="B443" s="101" t="s">
        <v>114</v>
      </c>
      <c r="C443" s="102" t="s">
        <v>758</v>
      </c>
      <c r="D443" s="229">
        <v>0</v>
      </c>
      <c r="E443" s="229">
        <v>0</v>
      </c>
      <c r="F443" s="284">
        <v>0</v>
      </c>
      <c r="G443" s="229">
        <v>0</v>
      </c>
      <c r="H443" s="229">
        <v>0</v>
      </c>
      <c r="I443" s="160"/>
      <c r="J443" s="137"/>
      <c r="K443" s="152"/>
      <c r="L443" s="160"/>
      <c r="M443" s="160"/>
      <c r="N443" s="54"/>
    </row>
    <row r="444" spans="1:14" s="87" customFormat="1" ht="12.75">
      <c r="A444" s="1174">
        <v>717</v>
      </c>
      <c r="B444" s="1175" t="s">
        <v>114</v>
      </c>
      <c r="C444" s="1176" t="s">
        <v>759</v>
      </c>
      <c r="D444" s="1177"/>
      <c r="E444" s="1177">
        <v>0</v>
      </c>
      <c r="F444" s="1178"/>
      <c r="G444" s="1177"/>
      <c r="H444" s="1177"/>
      <c r="I444" s="160"/>
      <c r="J444" s="152"/>
      <c r="K444" s="160"/>
      <c r="L444" s="152"/>
      <c r="M444" s="152"/>
      <c r="N444" s="54"/>
    </row>
    <row r="445" spans="1:14" s="87" customFormat="1" ht="12.75">
      <c r="A445" s="100">
        <v>717</v>
      </c>
      <c r="B445" s="101" t="s">
        <v>114</v>
      </c>
      <c r="C445" s="102" t="s">
        <v>760</v>
      </c>
      <c r="D445" s="229">
        <v>0</v>
      </c>
      <c r="E445" s="229">
        <v>0</v>
      </c>
      <c r="F445" s="284">
        <v>0</v>
      </c>
      <c r="G445" s="229">
        <v>4204</v>
      </c>
      <c r="H445" s="229">
        <v>0</v>
      </c>
      <c r="I445" s="1179"/>
      <c r="J445" s="1148"/>
      <c r="K445" s="1179"/>
      <c r="L445" s="1148"/>
      <c r="M445" s="1148"/>
      <c r="N445" s="54"/>
    </row>
    <row r="446" spans="1:14" s="87" customFormat="1" ht="12.75">
      <c r="A446" s="947"/>
      <c r="B446" s="123"/>
      <c r="C446" s="123"/>
      <c r="D446" s="853"/>
      <c r="E446" s="853"/>
      <c r="F446" s="853"/>
      <c r="G446" s="853"/>
      <c r="H446" s="1167"/>
      <c r="I446" s="160"/>
      <c r="J446" s="152"/>
      <c r="K446" s="152"/>
      <c r="L446" s="152"/>
      <c r="M446" s="152"/>
      <c r="N446" s="54"/>
    </row>
    <row r="447" spans="1:14" s="123" customFormat="1" ht="12.75">
      <c r="A447" s="1163" t="s">
        <v>685</v>
      </c>
      <c r="B447" s="1159"/>
      <c r="C447" s="1160"/>
      <c r="D447" s="1168">
        <v>0</v>
      </c>
      <c r="E447" s="1168">
        <v>0</v>
      </c>
      <c r="F447" s="1168">
        <f>SUM(F448)</f>
        <v>30000</v>
      </c>
      <c r="G447" s="1168">
        <f>SUM(G448)</f>
        <v>30000</v>
      </c>
      <c r="H447" s="1168">
        <v>0</v>
      </c>
      <c r="I447" s="160"/>
      <c r="J447" s="152"/>
      <c r="K447" s="58"/>
      <c r="L447" s="152"/>
      <c r="M447" s="58"/>
      <c r="N447" s="54"/>
    </row>
    <row r="448" spans="1:13" s="289" customFormat="1" ht="11.25">
      <c r="A448" s="100">
        <v>717</v>
      </c>
      <c r="B448" s="101" t="s">
        <v>114</v>
      </c>
      <c r="C448" s="102" t="s">
        <v>761</v>
      </c>
      <c r="D448" s="229"/>
      <c r="E448" s="229"/>
      <c r="F448" s="1180">
        <v>30000</v>
      </c>
      <c r="G448" s="229">
        <v>30000</v>
      </c>
      <c r="H448" s="229"/>
      <c r="I448" s="161"/>
      <c r="J448" s="1003"/>
      <c r="K448" s="1003"/>
      <c r="L448" s="1003"/>
      <c r="M448" s="1003"/>
    </row>
    <row r="449" spans="1:12" ht="12.75">
      <c r="A449" s="947"/>
      <c r="B449" s="123"/>
      <c r="C449" s="123"/>
      <c r="D449" s="853"/>
      <c r="H449" s="1167"/>
      <c r="I449" s="969"/>
      <c r="J449" s="137"/>
      <c r="K449" s="152"/>
      <c r="L449" s="152"/>
    </row>
    <row r="450" spans="1:12" ht="12.75">
      <c r="A450" s="1181" t="s">
        <v>705</v>
      </c>
      <c r="B450" s="1182"/>
      <c r="C450" s="1183"/>
      <c r="D450" s="1184">
        <f>SUM(D451)</f>
        <v>0</v>
      </c>
      <c r="E450" s="1184">
        <v>0</v>
      </c>
      <c r="F450" s="1184">
        <f>F451</f>
        <v>0</v>
      </c>
      <c r="G450" s="1184">
        <f>G451</f>
        <v>3800</v>
      </c>
      <c r="H450" s="1168">
        <f>H451</f>
        <v>0</v>
      </c>
      <c r="I450" s="969"/>
      <c r="J450" s="137"/>
      <c r="K450" s="152"/>
      <c r="L450" s="152"/>
    </row>
    <row r="451" spans="1:13" s="289" customFormat="1" ht="11.25">
      <c r="A451" s="100">
        <v>717</v>
      </c>
      <c r="B451" s="101" t="s">
        <v>117</v>
      </c>
      <c r="C451" s="101" t="s">
        <v>385</v>
      </c>
      <c r="D451" s="1039">
        <v>0</v>
      </c>
      <c r="E451" s="1039"/>
      <c r="F451" s="229">
        <v>0</v>
      </c>
      <c r="G451" s="229">
        <v>3800</v>
      </c>
      <c r="H451" s="229">
        <v>0</v>
      </c>
      <c r="I451" s="1185"/>
      <c r="J451" s="1185"/>
      <c r="K451" s="1185"/>
      <c r="L451" s="1185"/>
      <c r="M451" s="1186"/>
    </row>
    <row r="452" spans="1:13" ht="12.75">
      <c r="A452" s="947"/>
      <c r="B452" s="123"/>
      <c r="C452" s="123"/>
      <c r="D452" s="853"/>
      <c r="H452" s="1167"/>
      <c r="I452" s="969"/>
      <c r="J452" s="137"/>
      <c r="K452" s="152"/>
      <c r="L452" s="152"/>
      <c r="M452" s="152"/>
    </row>
    <row r="453" spans="1:12" ht="12.75">
      <c r="A453" s="1158" t="s">
        <v>715</v>
      </c>
      <c r="B453" s="1159"/>
      <c r="C453" s="1160"/>
      <c r="D453" s="1172">
        <v>0</v>
      </c>
      <c r="E453" s="1172">
        <f>E455+E456</f>
        <v>0</v>
      </c>
      <c r="F453" s="1172">
        <f>F455+F456</f>
        <v>0</v>
      </c>
      <c r="G453" s="1172">
        <f>G455+G456</f>
        <v>0</v>
      </c>
      <c r="H453" s="1172">
        <f>H455+H456</f>
        <v>0</v>
      </c>
      <c r="I453" s="969"/>
      <c r="J453" s="137"/>
      <c r="L453" s="152"/>
    </row>
    <row r="454" spans="1:14" s="1173" customFormat="1" ht="12.75">
      <c r="A454" s="100">
        <v>716</v>
      </c>
      <c r="B454" s="1187"/>
      <c r="C454" s="102" t="s">
        <v>762</v>
      </c>
      <c r="D454" s="229">
        <v>0</v>
      </c>
      <c r="E454" s="229"/>
      <c r="F454" s="229"/>
      <c r="G454" s="229"/>
      <c r="H454" s="229"/>
      <c r="I454" s="1185"/>
      <c r="J454" s="1185"/>
      <c r="K454" s="1185"/>
      <c r="L454" s="1185"/>
      <c r="M454" s="1185"/>
      <c r="N454" s="289"/>
    </row>
    <row r="455" spans="1:14" s="123" customFormat="1" ht="12.75">
      <c r="A455" s="100">
        <v>717</v>
      </c>
      <c r="B455" s="101" t="s">
        <v>114</v>
      </c>
      <c r="C455" s="102" t="s">
        <v>763</v>
      </c>
      <c r="D455" s="229"/>
      <c r="E455" s="229"/>
      <c r="F455" s="229"/>
      <c r="G455" s="229"/>
      <c r="H455" s="229"/>
      <c r="I455" s="1188"/>
      <c r="J455" s="58"/>
      <c r="K455" s="152"/>
      <c r="L455" s="152"/>
      <c r="M455" s="152"/>
      <c r="N455" s="54"/>
    </row>
    <row r="456" spans="1:13" ht="12.75">
      <c r="A456" s="142">
        <v>717</v>
      </c>
      <c r="B456" s="180" t="s">
        <v>117</v>
      </c>
      <c r="C456" s="275" t="s">
        <v>764</v>
      </c>
      <c r="D456" s="228">
        <v>0</v>
      </c>
      <c r="E456" s="228">
        <v>0</v>
      </c>
      <c r="F456" s="228">
        <v>0</v>
      </c>
      <c r="G456" s="228">
        <v>0</v>
      </c>
      <c r="H456" s="228">
        <v>0</v>
      </c>
      <c r="I456" s="1189"/>
      <c r="J456" s="137"/>
      <c r="K456" s="152"/>
      <c r="L456" s="152"/>
      <c r="M456" s="152"/>
    </row>
    <row r="457" spans="1:13" ht="12.75">
      <c r="A457" s="1174">
        <v>717</v>
      </c>
      <c r="B457" s="1190" t="s">
        <v>117</v>
      </c>
      <c r="C457" s="1191" t="s">
        <v>765</v>
      </c>
      <c r="D457" s="229"/>
      <c r="E457" s="229"/>
      <c r="F457" s="229"/>
      <c r="G457" s="229"/>
      <c r="H457" s="229"/>
      <c r="I457" s="1189"/>
      <c r="J457" s="137"/>
      <c r="K457" s="152"/>
      <c r="L457" s="152"/>
      <c r="M457" s="152"/>
    </row>
    <row r="458" spans="1:13" ht="12.75">
      <c r="A458" s="947"/>
      <c r="B458" s="123"/>
      <c r="C458" s="123"/>
      <c r="D458" s="978"/>
      <c r="E458" s="978"/>
      <c r="F458" s="978"/>
      <c r="G458" s="978"/>
      <c r="H458" s="1162"/>
      <c r="I458" s="1189"/>
      <c r="J458" s="137"/>
      <c r="K458" s="152"/>
      <c r="L458" s="152"/>
      <c r="M458" s="152"/>
    </row>
    <row r="459" spans="1:13" ht="12.75">
      <c r="A459" s="1181" t="s">
        <v>766</v>
      </c>
      <c r="B459" s="1182"/>
      <c r="C459" s="1183"/>
      <c r="D459" s="266">
        <f>SUM(D460)</f>
        <v>190000</v>
      </c>
      <c r="E459" s="266">
        <f>SUM(E460)</f>
        <v>0</v>
      </c>
      <c r="F459" s="266">
        <f>F460</f>
        <v>190000</v>
      </c>
      <c r="G459" s="266">
        <f>G460</f>
        <v>0</v>
      </c>
      <c r="H459" s="266">
        <f>H460</f>
        <v>0</v>
      </c>
      <c r="I459" s="1189"/>
      <c r="J459" s="137"/>
      <c r="K459" s="152"/>
      <c r="L459" s="152"/>
      <c r="M459" s="152"/>
    </row>
    <row r="460" spans="1:13" s="1004" customFormat="1" ht="12.75">
      <c r="A460" s="142">
        <v>717</v>
      </c>
      <c r="B460" s="180" t="s">
        <v>114</v>
      </c>
      <c r="C460" s="275" t="s">
        <v>481</v>
      </c>
      <c r="D460" s="228">
        <v>190000</v>
      </c>
      <c r="E460" s="228"/>
      <c r="F460" s="228">
        <v>190000</v>
      </c>
      <c r="G460" s="1192">
        <v>0</v>
      </c>
      <c r="H460" s="228">
        <v>0</v>
      </c>
      <c r="I460" s="1193"/>
      <c r="J460" s="1194"/>
      <c r="K460" s="976"/>
      <c r="L460" s="976"/>
      <c r="M460" s="976"/>
    </row>
    <row r="461" spans="1:13" ht="12.75">
      <c r="A461" s="142"/>
      <c r="B461" s="180"/>
      <c r="C461" s="275"/>
      <c r="D461" s="228"/>
      <c r="E461" s="228"/>
      <c r="F461" s="228"/>
      <c r="G461" s="228"/>
      <c r="H461" s="228"/>
      <c r="I461" s="1189"/>
      <c r="J461" s="137"/>
      <c r="K461" s="152"/>
      <c r="L461" s="152"/>
      <c r="M461" s="152"/>
    </row>
    <row r="462" spans="1:13" ht="12.75">
      <c r="A462" s="1150" t="s">
        <v>767</v>
      </c>
      <c r="B462" s="1151"/>
      <c r="C462" s="1195"/>
      <c r="D462" s="1196">
        <f>D421+D424+D428+D431+D434+D438+D447+D450+D453+D459</f>
        <v>723500</v>
      </c>
      <c r="E462" s="1196">
        <f>E421+E424+E428+E431+E434+E438+E447+E450+E453+E459</f>
        <v>5940</v>
      </c>
      <c r="F462" s="1197">
        <f>F421+F424+F428+F431+F434+F438+F447+F450+F453+F459</f>
        <v>516960</v>
      </c>
      <c r="G462" s="1197">
        <f>G421+G424+G428+G431+G434+G438+G447+G450+G453+G459</f>
        <v>311704</v>
      </c>
      <c r="H462" s="1198">
        <f>H421+H424+H428+H431+H434+H438+H447+H450+H453+H459</f>
        <v>0</v>
      </c>
      <c r="I462" s="1189"/>
      <c r="J462" s="137"/>
      <c r="K462" s="152"/>
      <c r="L462" s="152"/>
      <c r="M462" s="152"/>
    </row>
    <row r="463" spans="1:14" s="87" customFormat="1" ht="12.75">
      <c r="A463" s="54"/>
      <c r="B463" s="54"/>
      <c r="C463" s="54"/>
      <c r="D463" s="54"/>
      <c r="E463" s="853"/>
      <c r="F463" s="853"/>
      <c r="G463" s="853"/>
      <c r="H463" s="854"/>
      <c r="I463" s="1199"/>
      <c r="J463" s="58"/>
      <c r="K463" s="876"/>
      <c r="L463" s="876"/>
      <c r="M463" s="876"/>
      <c r="N463" s="300"/>
    </row>
    <row r="464" spans="1:14" s="87" customFormat="1" ht="12.75">
      <c r="A464" s="54"/>
      <c r="B464" s="54"/>
      <c r="C464" s="54"/>
      <c r="D464" s="54"/>
      <c r="E464" s="853"/>
      <c r="F464" s="853"/>
      <c r="G464" s="853"/>
      <c r="H464" s="854"/>
      <c r="I464" s="1199"/>
      <c r="J464" s="58"/>
      <c r="K464" s="876"/>
      <c r="L464" s="876"/>
      <c r="M464" s="876"/>
      <c r="N464" s="300"/>
    </row>
    <row r="465" spans="1:14" s="87" customFormat="1" ht="12.75">
      <c r="A465" s="54"/>
      <c r="B465" s="54"/>
      <c r="C465" s="54"/>
      <c r="D465" s="54"/>
      <c r="E465" s="853"/>
      <c r="F465" s="853"/>
      <c r="G465" s="853"/>
      <c r="H465" s="854"/>
      <c r="I465" s="1199"/>
      <c r="J465" s="58"/>
      <c r="K465" s="876"/>
      <c r="L465" s="876"/>
      <c r="M465" s="876"/>
      <c r="N465" s="300"/>
    </row>
    <row r="466" spans="1:14" s="87" customFormat="1" ht="12.75">
      <c r="A466" s="54"/>
      <c r="B466" s="54"/>
      <c r="C466" s="54"/>
      <c r="D466" s="54"/>
      <c r="E466" s="853"/>
      <c r="F466" s="853"/>
      <c r="G466" s="853"/>
      <c r="H466" s="854"/>
      <c r="I466" s="152"/>
      <c r="J466" s="152"/>
      <c r="K466" s="58"/>
      <c r="L466" s="58"/>
      <c r="M466" s="58"/>
      <c r="N466" s="54"/>
    </row>
    <row r="467" spans="1:14" s="87" customFormat="1" ht="12.75" hidden="1">
      <c r="A467" s="54"/>
      <c r="B467" s="54"/>
      <c r="C467" s="54"/>
      <c r="D467" s="54"/>
      <c r="E467" s="853"/>
      <c r="F467" s="853"/>
      <c r="G467" s="853"/>
      <c r="H467" s="854"/>
      <c r="I467" s="152"/>
      <c r="J467" s="152"/>
      <c r="K467" s="58"/>
      <c r="L467" s="58"/>
      <c r="M467" s="58"/>
      <c r="N467" s="54"/>
    </row>
    <row r="468" spans="1:14" s="87" customFormat="1" ht="12.75" hidden="1">
      <c r="A468" s="54"/>
      <c r="B468" s="54"/>
      <c r="C468" s="54"/>
      <c r="D468" s="54"/>
      <c r="E468" s="853"/>
      <c r="F468" s="853"/>
      <c r="G468" s="853"/>
      <c r="H468" s="854"/>
      <c r="I468" s="152"/>
      <c r="J468" s="152"/>
      <c r="K468" s="58"/>
      <c r="L468" s="58"/>
      <c r="M468" s="58"/>
      <c r="N468" s="54"/>
    </row>
    <row r="469" spans="1:14" s="87" customFormat="1" ht="12.75">
      <c r="A469" s="54"/>
      <c r="B469" s="54"/>
      <c r="C469" s="856" t="s">
        <v>768</v>
      </c>
      <c r="D469" s="856"/>
      <c r="E469" s="853"/>
      <c r="F469" s="853"/>
      <c r="G469" s="853"/>
      <c r="H469" s="854"/>
      <c r="I469" s="152"/>
      <c r="J469" s="152"/>
      <c r="K469" s="58"/>
      <c r="L469" s="58"/>
      <c r="M469" s="58"/>
      <c r="N469" s="54"/>
    </row>
    <row r="470" spans="1:14" s="87" customFormat="1" ht="12.75">
      <c r="A470" s="54"/>
      <c r="B470" s="54"/>
      <c r="C470" s="54"/>
      <c r="D470" s="54"/>
      <c r="E470" s="853"/>
      <c r="F470" s="853"/>
      <c r="G470" s="853"/>
      <c r="H470" s="854"/>
      <c r="I470" s="152"/>
      <c r="J470" s="152"/>
      <c r="K470" s="58"/>
      <c r="L470" s="58"/>
      <c r="M470" s="58"/>
      <c r="N470" s="54"/>
    </row>
    <row r="471" spans="1:14" s="87" customFormat="1" ht="12.75">
      <c r="A471" s="858" t="s">
        <v>504</v>
      </c>
      <c r="B471" s="859"/>
      <c r="C471" s="860"/>
      <c r="D471" s="246">
        <v>2014</v>
      </c>
      <c r="E471" s="861" t="s">
        <v>108</v>
      </c>
      <c r="F471" s="862" t="s">
        <v>109</v>
      </c>
      <c r="G471" s="981" t="s">
        <v>110</v>
      </c>
      <c r="H471" s="862"/>
      <c r="I471" s="152"/>
      <c r="J471" s="152"/>
      <c r="K471" s="58"/>
      <c r="L471" s="58"/>
      <c r="M471" s="58"/>
      <c r="N471" s="54"/>
    </row>
    <row r="472" spans="1:13" s="1000" customFormat="1" ht="12">
      <c r="A472" s="100">
        <v>824</v>
      </c>
      <c r="B472" s="101"/>
      <c r="C472" s="102" t="s">
        <v>769</v>
      </c>
      <c r="D472" s="228">
        <v>0</v>
      </c>
      <c r="E472" s="228">
        <v>0</v>
      </c>
      <c r="F472" s="284">
        <v>0</v>
      </c>
      <c r="G472" s="229">
        <v>0</v>
      </c>
      <c r="H472" s="229">
        <v>0</v>
      </c>
      <c r="I472" s="997"/>
      <c r="J472" s="998"/>
      <c r="K472" s="999"/>
      <c r="L472" s="865"/>
      <c r="M472" s="866"/>
    </row>
    <row r="473" spans="1:14" s="123" customFormat="1" ht="12.75">
      <c r="A473" s="100">
        <v>821</v>
      </c>
      <c r="B473" s="101"/>
      <c r="C473" s="102" t="s">
        <v>770</v>
      </c>
      <c r="D473" s="228">
        <v>155204</v>
      </c>
      <c r="E473" s="228">
        <v>20000</v>
      </c>
      <c r="F473" s="229">
        <v>60000</v>
      </c>
      <c r="G473" s="229">
        <v>60000</v>
      </c>
      <c r="H473" s="229">
        <v>0</v>
      </c>
      <c r="I473" s="160"/>
      <c r="J473" s="58"/>
      <c r="K473" s="160"/>
      <c r="L473" s="152"/>
      <c r="M473" s="152"/>
      <c r="N473" s="54"/>
    </row>
    <row r="474" spans="1:14" s="123" customFormat="1" ht="12.75">
      <c r="A474" s="1150" t="s">
        <v>771</v>
      </c>
      <c r="B474" s="1151"/>
      <c r="C474" s="1152"/>
      <c r="D474" s="1196">
        <f>SUM(D472,D473)</f>
        <v>155204</v>
      </c>
      <c r="E474" s="1196">
        <f>SUM(E472,E473)</f>
        <v>20000</v>
      </c>
      <c r="F474" s="1200">
        <f>F472+F473</f>
        <v>60000</v>
      </c>
      <c r="G474" s="1200">
        <f>G472+G473</f>
        <v>60000</v>
      </c>
      <c r="H474" s="1201">
        <f>H472+H473</f>
        <v>0</v>
      </c>
      <c r="I474" s="160"/>
      <c r="J474" s="58"/>
      <c r="K474" s="160"/>
      <c r="L474" s="160"/>
      <c r="M474" s="160"/>
      <c r="N474" s="54"/>
    </row>
    <row r="475" spans="1:13" ht="12.75">
      <c r="A475" s="123"/>
      <c r="B475" s="123"/>
      <c r="C475" s="123"/>
      <c r="D475" s="123"/>
      <c r="E475" s="978"/>
      <c r="F475" s="978"/>
      <c r="G475" s="978"/>
      <c r="H475" s="127"/>
      <c r="I475" s="161"/>
      <c r="J475" s="976"/>
      <c r="K475" s="876"/>
      <c r="L475" s="876"/>
      <c r="M475" s="876"/>
    </row>
    <row r="476" spans="1:8" ht="12.75">
      <c r="A476" s="123"/>
      <c r="B476" s="123"/>
      <c r="C476" s="123"/>
      <c r="D476" s="123"/>
      <c r="E476" s="978"/>
      <c r="F476" s="978"/>
      <c r="G476" s="978"/>
      <c r="H476" s="127"/>
    </row>
    <row r="477" spans="1:8" ht="12.75">
      <c r="A477" s="123"/>
      <c r="B477" s="123"/>
      <c r="C477" s="123"/>
      <c r="D477" s="123"/>
      <c r="E477" s="978"/>
      <c r="F477" s="978"/>
      <c r="G477" s="978"/>
      <c r="H477" s="127"/>
    </row>
    <row r="478" spans="1:8" ht="12.75">
      <c r="A478" s="1202" t="s">
        <v>533</v>
      </c>
      <c r="B478" s="1203"/>
      <c r="C478" s="1204"/>
      <c r="D478" s="1205">
        <v>2014</v>
      </c>
      <c r="E478" s="1206" t="s">
        <v>108</v>
      </c>
      <c r="F478" s="1207" t="s">
        <v>109</v>
      </c>
      <c r="G478" s="1208" t="s">
        <v>110</v>
      </c>
      <c r="H478" s="1207"/>
    </row>
    <row r="479" spans="1:13" s="1000" customFormat="1" ht="14.25">
      <c r="A479" s="1209" t="s">
        <v>772</v>
      </c>
      <c r="B479" s="1210"/>
      <c r="C479" s="1210"/>
      <c r="D479" s="228">
        <f>SUM(D401)</f>
        <v>1379749</v>
      </c>
      <c r="E479" s="1211">
        <f>SUM(E401)</f>
        <v>681558.09</v>
      </c>
      <c r="F479" s="121">
        <f>F401</f>
        <v>1406385</v>
      </c>
      <c r="G479" s="121">
        <f>SUM(G91,G104,G146,G196,G229,G247,G261,G320,G362,G400)</f>
        <v>1497658.2</v>
      </c>
      <c r="H479" s="121">
        <f>SUM(H401)</f>
        <v>0</v>
      </c>
      <c r="I479" s="998"/>
      <c r="J479" s="998"/>
      <c r="K479" s="1212"/>
      <c r="L479" s="1213"/>
      <c r="M479" s="866"/>
    </row>
    <row r="480" spans="1:14" ht="14.25">
      <c r="A480" s="1209" t="s">
        <v>773</v>
      </c>
      <c r="B480" s="1210"/>
      <c r="C480" s="1210"/>
      <c r="D480" s="229">
        <f>SUM(D462)</f>
        <v>723500</v>
      </c>
      <c r="E480" s="1039">
        <f>SUM(E462)</f>
        <v>5940</v>
      </c>
      <c r="F480" s="165">
        <f>F462</f>
        <v>516960</v>
      </c>
      <c r="G480" s="165">
        <f>G462</f>
        <v>311704</v>
      </c>
      <c r="H480" s="165">
        <f>SUM(H462)</f>
        <v>0</v>
      </c>
      <c r="I480" s="160"/>
      <c r="J480" s="1214"/>
      <c r="K480" s="160"/>
      <c r="L480" s="160"/>
      <c r="M480" s="160"/>
      <c r="N480" s="1215"/>
    </row>
    <row r="481" spans="1:14" ht="14.25">
      <c r="A481" s="1209" t="s">
        <v>504</v>
      </c>
      <c r="B481" s="1210"/>
      <c r="C481" s="1210"/>
      <c r="D481" s="262">
        <f>D474</f>
        <v>155204</v>
      </c>
      <c r="E481" s="1216">
        <f>E474</f>
        <v>20000</v>
      </c>
      <c r="F481" s="117">
        <f>F474</f>
        <v>60000</v>
      </c>
      <c r="G481" s="117">
        <f>G474</f>
        <v>60000</v>
      </c>
      <c r="H481" s="117">
        <f>SUM(H474)</f>
        <v>0</v>
      </c>
      <c r="I481" s="160"/>
      <c r="J481" s="1214"/>
      <c r="K481" s="152"/>
      <c r="L481" s="152"/>
      <c r="M481" s="152"/>
      <c r="N481" s="300"/>
    </row>
    <row r="482" spans="1:14" ht="15">
      <c r="A482" s="1217" t="s">
        <v>774</v>
      </c>
      <c r="B482" s="1218"/>
      <c r="C482" s="1218"/>
      <c r="D482" s="1219">
        <f>SUM(D479,D480,D481)</f>
        <v>2258453</v>
      </c>
      <c r="E482" s="1220">
        <f>SUM(E479,E480,E481)</f>
        <v>707498.09</v>
      </c>
      <c r="F482" s="1221">
        <f>F479+F480+F481</f>
        <v>1983345</v>
      </c>
      <c r="G482" s="1221">
        <f>G479+G480+G481</f>
        <v>1869362.2</v>
      </c>
      <c r="H482" s="1288">
        <v>389090.8</v>
      </c>
      <c r="I482" s="160"/>
      <c r="J482" s="1214"/>
      <c r="K482" s="160"/>
      <c r="L482" s="160"/>
      <c r="M482" s="160"/>
      <c r="N482" s="1222"/>
    </row>
    <row r="483" spans="1:13" ht="14.25">
      <c r="A483" s="1223"/>
      <c r="B483" s="1224"/>
      <c r="C483" s="1224"/>
      <c r="D483" s="853"/>
      <c r="F483" s="265"/>
      <c r="G483" s="1290">
        <v>113983</v>
      </c>
      <c r="H483" s="127"/>
      <c r="I483" s="160"/>
      <c r="J483" s="1214"/>
      <c r="K483" s="160"/>
      <c r="L483" s="160"/>
      <c r="M483" s="160"/>
    </row>
    <row r="484" spans="1:10" ht="14.25">
      <c r="A484" s="1209" t="s">
        <v>1</v>
      </c>
      <c r="B484" s="1210"/>
      <c r="C484" s="1210"/>
      <c r="D484" s="228">
        <v>1402752</v>
      </c>
      <c r="E484" s="1211">
        <f>príjmy!K170</f>
        <v>763702.13</v>
      </c>
      <c r="F484" s="117">
        <f>príjmy!L170</f>
        <v>1543503</v>
      </c>
      <c r="G484" s="117">
        <f>príjmy!M170</f>
        <v>1614323</v>
      </c>
      <c r="H484" s="117">
        <f>SUM(príjmy!N92)</f>
        <v>0</v>
      </c>
      <c r="J484" s="1225"/>
    </row>
    <row r="485" spans="1:14" ht="14.25">
      <c r="A485" s="1209" t="s">
        <v>89</v>
      </c>
      <c r="B485" s="1210"/>
      <c r="C485" s="1210"/>
      <c r="D485" s="228">
        <v>640000</v>
      </c>
      <c r="E485" s="1211">
        <f>príjmy!K171</f>
        <v>33954.33</v>
      </c>
      <c r="F485" s="117">
        <f>príjmy!L171</f>
        <v>468460</v>
      </c>
      <c r="G485" s="117">
        <f>príjmy!M171</f>
        <v>282356</v>
      </c>
      <c r="H485" s="117">
        <f>SUM(príjmy!N123)</f>
        <v>0</v>
      </c>
      <c r="I485" s="190"/>
      <c r="J485" s="155"/>
      <c r="K485" s="160"/>
      <c r="L485" s="160"/>
      <c r="M485" s="160"/>
      <c r="N485" s="299"/>
    </row>
    <row r="486" spans="1:14" ht="14.25">
      <c r="A486" s="1209" t="s">
        <v>101</v>
      </c>
      <c r="B486" s="1210"/>
      <c r="C486" s="1210"/>
      <c r="D486" s="229">
        <v>0</v>
      </c>
      <c r="E486" s="1039">
        <f>príjmy!K172</f>
        <v>0</v>
      </c>
      <c r="F486" s="117">
        <f>príjmy!L172</f>
        <v>0</v>
      </c>
      <c r="G486" s="117">
        <f>príjmy!M172</f>
        <v>0</v>
      </c>
      <c r="H486" s="117">
        <f>SUM(príjmy!N150)</f>
        <v>0</v>
      </c>
      <c r="I486" s="190"/>
      <c r="J486" s="155"/>
      <c r="K486" s="160"/>
      <c r="L486" s="160"/>
      <c r="M486" s="160"/>
      <c r="N486" s="853"/>
    </row>
    <row r="487" spans="1:14" ht="14.25">
      <c r="A487" s="1209" t="s">
        <v>207</v>
      </c>
      <c r="B487" s="1210"/>
      <c r="C487" s="1210"/>
      <c r="D487" s="262">
        <f>príjmy!I173</f>
        <v>0</v>
      </c>
      <c r="E487" s="1216">
        <f>príjmy!K173</f>
        <v>0</v>
      </c>
      <c r="F487" s="117">
        <f>príjmy!L173</f>
        <v>0</v>
      </c>
      <c r="G487" s="117">
        <f>príjmy!M173</f>
        <v>0</v>
      </c>
      <c r="H487" s="117">
        <f>SUM(príjmy!N161)</f>
        <v>0</v>
      </c>
      <c r="I487" s="190"/>
      <c r="J487" s="155"/>
      <c r="K487" s="160"/>
      <c r="L487" s="160"/>
      <c r="M487" s="160"/>
      <c r="N487" s="300"/>
    </row>
    <row r="488" spans="1:13" ht="15">
      <c r="A488" s="1217" t="s">
        <v>212</v>
      </c>
      <c r="B488" s="1218"/>
      <c r="C488" s="1218"/>
      <c r="D488" s="304">
        <f>SUM(D484,D485,D486,D487)</f>
        <v>2042752</v>
      </c>
      <c r="E488" s="1226">
        <f>SUM(E484,E485,E486,E487)</f>
        <v>797656.46</v>
      </c>
      <c r="F488" s="1221">
        <f>F484+F485+F486+F487</f>
        <v>2011963</v>
      </c>
      <c r="G488" s="1221">
        <f>G484+G485+G486+G487</f>
        <v>1896679</v>
      </c>
      <c r="H488" s="1288">
        <v>146073</v>
      </c>
      <c r="I488" s="190"/>
      <c r="J488" s="155"/>
      <c r="K488" s="160"/>
      <c r="L488" s="160"/>
      <c r="M488" s="160"/>
    </row>
    <row r="489" spans="7:13" ht="12.75">
      <c r="G489" s="1289">
        <v>115284</v>
      </c>
      <c r="I489" s="190"/>
      <c r="J489" s="155"/>
      <c r="K489" s="160"/>
      <c r="L489" s="160"/>
      <c r="M489" s="160"/>
    </row>
    <row r="491" ht="12.75">
      <c r="M491" s="208"/>
    </row>
  </sheetData>
  <sheetProtection/>
  <mergeCells count="13">
    <mergeCell ref="A428:C428"/>
    <mergeCell ref="G250:H250"/>
    <mergeCell ref="E267:H267"/>
    <mergeCell ref="F324:H324"/>
    <mergeCell ref="F379:H379"/>
    <mergeCell ref="G107:H107"/>
    <mergeCell ref="E154:H154"/>
    <mergeCell ref="F198:H198"/>
    <mergeCell ref="F233:H233"/>
    <mergeCell ref="A1:H1"/>
    <mergeCell ref="F4:H4"/>
    <mergeCell ref="A5:E5"/>
    <mergeCell ref="G97:H97"/>
  </mergeCells>
  <printOptions/>
  <pageMargins left="0.7875" right="0.19652777777777777" top="0.39375000000000004" bottom="0.39375000000000004" header="0.11805555555555557" footer="0.11805555555555557"/>
  <pageSetup horizontalDpi="300" verticalDpi="300" orientation="portrait" paperSize="9" scale="90" r:id="rId1"/>
  <headerFooter alignWithMargins="0">
    <oddHeader>&amp;CROZPOČET OBCE TEKOVSKÉ LUŽANY NA ROK 2014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74"/>
  <sheetViews>
    <sheetView zoomScale="150" zoomScaleNormal="150" zoomScalePageLayoutView="0" workbookViewId="0" topLeftCell="A25">
      <selection activeCell="M42" sqref="M42"/>
    </sheetView>
  </sheetViews>
  <sheetFormatPr defaultColWidth="9.00390625" defaultRowHeight="12.75"/>
  <cols>
    <col min="1" max="1" width="8.57421875" style="54" customWidth="1"/>
    <col min="2" max="2" width="7.00390625" style="54" customWidth="1"/>
    <col min="3" max="3" width="32.421875" style="54" customWidth="1"/>
    <col min="4" max="6" width="0" style="54" hidden="1" customWidth="1"/>
    <col min="7" max="7" width="0" style="55" hidden="1" customWidth="1"/>
    <col min="8" max="9" width="0" style="54" hidden="1" customWidth="1"/>
    <col min="10" max="10" width="9.8515625" style="54" customWidth="1"/>
    <col min="11" max="11" width="9.8515625" style="56" customWidth="1"/>
    <col min="12" max="13" width="9.8515625" style="54" customWidth="1"/>
    <col min="14" max="14" width="9.8515625" style="57" customWidth="1"/>
    <col min="15" max="15" width="11.00390625" style="58" customWidth="1"/>
    <col min="16" max="17" width="10.00390625" style="58" customWidth="1"/>
    <col min="18" max="18" width="9.7109375" style="59" customWidth="1"/>
    <col min="19" max="19" width="18.140625" style="54" customWidth="1"/>
    <col min="20" max="16384" width="9.00390625" style="54" customWidth="1"/>
  </cols>
  <sheetData>
    <row r="2" spans="1:18" ht="15.75">
      <c r="A2" s="1256" t="s">
        <v>106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60"/>
      <c r="P2" s="60"/>
      <c r="Q2" s="60"/>
      <c r="R2" s="60"/>
    </row>
    <row r="4" ht="15.75">
      <c r="C4" s="61" t="s">
        <v>1</v>
      </c>
    </row>
    <row r="5" spans="1:18" ht="15.75">
      <c r="A5" s="1257"/>
      <c r="B5" s="1257"/>
      <c r="C5" s="1257"/>
      <c r="D5" s="1257"/>
      <c r="E5" s="1257"/>
      <c r="F5" s="63"/>
      <c r="G5" s="63"/>
      <c r="H5" s="55"/>
      <c r="I5" s="55"/>
      <c r="J5" s="55"/>
      <c r="K5" s="1251" t="s">
        <v>107</v>
      </c>
      <c r="L5" s="1251"/>
      <c r="M5" s="1251"/>
      <c r="N5" s="1251"/>
      <c r="O5" s="64"/>
      <c r="P5" s="64"/>
      <c r="Q5" s="64"/>
      <c r="R5" s="64"/>
    </row>
    <row r="6" spans="1:18" ht="15.75">
      <c r="A6" s="62"/>
      <c r="B6" s="62"/>
      <c r="C6" s="62"/>
      <c r="D6" s="62"/>
      <c r="E6" s="62"/>
      <c r="F6" s="63"/>
      <c r="G6" s="63"/>
      <c r="H6" s="55"/>
      <c r="I6" s="55"/>
      <c r="J6" s="55"/>
      <c r="K6" s="65"/>
      <c r="L6" s="65"/>
      <c r="M6" s="65"/>
      <c r="N6" s="66"/>
      <c r="O6" s="65"/>
      <c r="P6" s="65"/>
      <c r="Q6" s="65"/>
      <c r="R6" s="67"/>
    </row>
    <row r="8" spans="1:18" s="58" customFormat="1" ht="39.75" customHeight="1">
      <c r="A8" s="68" t="s">
        <v>1</v>
      </c>
      <c r="B8" s="69"/>
      <c r="C8" s="70"/>
      <c r="D8" s="71"/>
      <c r="E8" s="72"/>
      <c r="F8" s="71"/>
      <c r="G8" s="72"/>
      <c r="H8" s="71"/>
      <c r="I8" s="72"/>
      <c r="J8" s="72">
        <v>2014</v>
      </c>
      <c r="K8" s="73" t="s">
        <v>108</v>
      </c>
      <c r="L8" s="74" t="s">
        <v>109</v>
      </c>
      <c r="M8" s="75" t="s">
        <v>110</v>
      </c>
      <c r="N8" s="73"/>
      <c r="O8" s="76"/>
      <c r="P8" s="76"/>
      <c r="Q8" s="76"/>
      <c r="R8" s="77"/>
    </row>
    <row r="9" spans="1:18" s="87" customFormat="1" ht="12.75">
      <c r="A9" s="78" t="s">
        <v>111</v>
      </c>
      <c r="B9" s="79"/>
      <c r="C9" s="80"/>
      <c r="D9" s="81"/>
      <c r="E9" s="82"/>
      <c r="F9" s="81"/>
      <c r="G9" s="82"/>
      <c r="H9" s="81"/>
      <c r="I9" s="82"/>
      <c r="J9" s="83">
        <f>SUM(J10,J11)</f>
        <v>766192</v>
      </c>
      <c r="K9" s="83">
        <f>SUM(K10,K11)</f>
        <v>327207.93</v>
      </c>
      <c r="L9" s="83">
        <f>L10+L11</f>
        <v>766192</v>
      </c>
      <c r="M9" s="84">
        <f>SUM(M10,M11)</f>
        <v>766203</v>
      </c>
      <c r="N9" s="82">
        <f>SUM(N10,N11)</f>
        <v>0</v>
      </c>
      <c r="O9" s="85"/>
      <c r="P9" s="85"/>
      <c r="Q9" s="85"/>
      <c r="R9" s="86"/>
    </row>
    <row r="10" spans="1:19" s="58" customFormat="1" ht="12.75">
      <c r="A10" s="88">
        <v>111</v>
      </c>
      <c r="B10" s="89" t="s">
        <v>112</v>
      </c>
      <c r="C10" s="90" t="s">
        <v>113</v>
      </c>
      <c r="D10" s="91"/>
      <c r="E10" s="92"/>
      <c r="F10" s="91"/>
      <c r="G10" s="91"/>
      <c r="H10" s="91"/>
      <c r="I10" s="91"/>
      <c r="J10" s="93">
        <v>600000</v>
      </c>
      <c r="K10" s="94">
        <v>288016.24</v>
      </c>
      <c r="L10" s="93">
        <v>600000</v>
      </c>
      <c r="M10" s="95">
        <v>600000</v>
      </c>
      <c r="N10" s="91">
        <v>0</v>
      </c>
      <c r="O10" s="96"/>
      <c r="P10" s="96"/>
      <c r="Q10" s="96"/>
      <c r="R10" s="97"/>
      <c r="S10" s="98"/>
    </row>
    <row r="11" spans="1:18" s="58" customFormat="1" ht="12.75">
      <c r="A11" s="88">
        <v>121</v>
      </c>
      <c r="B11" s="89"/>
      <c r="C11" s="90" t="s">
        <v>7</v>
      </c>
      <c r="D11" s="91"/>
      <c r="E11" s="92"/>
      <c r="F11" s="91"/>
      <c r="G11" s="91"/>
      <c r="H11" s="91"/>
      <c r="I11" s="91"/>
      <c r="J11" s="93">
        <f>J12+J14+J16</f>
        <v>166192</v>
      </c>
      <c r="K11" s="94">
        <f>SUM(K12,K14,K16)</f>
        <v>39191.69</v>
      </c>
      <c r="L11" s="93">
        <f>L12+L14+L16</f>
        <v>166192</v>
      </c>
      <c r="M11" s="99">
        <f>M12+M14+M16</f>
        <v>166203</v>
      </c>
      <c r="N11" s="93">
        <f>N12+N14+N16</f>
        <v>0</v>
      </c>
      <c r="O11" s="96"/>
      <c r="P11" s="96"/>
      <c r="Q11" s="96"/>
      <c r="R11" s="97"/>
    </row>
    <row r="12" spans="1:18" s="58" customFormat="1" ht="12.75">
      <c r="A12" s="100">
        <v>121</v>
      </c>
      <c r="B12" s="101" t="s">
        <v>114</v>
      </c>
      <c r="C12" s="102" t="s">
        <v>115</v>
      </c>
      <c r="D12" s="103"/>
      <c r="E12" s="103"/>
      <c r="F12" s="103"/>
      <c r="G12" s="104"/>
      <c r="H12" s="103"/>
      <c r="I12" s="103"/>
      <c r="J12" s="105">
        <v>139422</v>
      </c>
      <c r="K12" s="106">
        <v>24062.36</v>
      </c>
      <c r="L12" s="105">
        <v>139422</v>
      </c>
      <c r="M12" s="107">
        <v>139422</v>
      </c>
      <c r="N12" s="105">
        <v>0</v>
      </c>
      <c r="O12" s="108"/>
      <c r="P12" s="108"/>
      <c r="Q12" s="108"/>
      <c r="R12" s="109"/>
    </row>
    <row r="13" spans="1:18" ht="12.75">
      <c r="A13" s="100">
        <v>121</v>
      </c>
      <c r="B13" s="101" t="s">
        <v>114</v>
      </c>
      <c r="C13" s="102" t="s">
        <v>116</v>
      </c>
      <c r="D13" s="103"/>
      <c r="E13" s="103"/>
      <c r="F13" s="103"/>
      <c r="G13" s="104"/>
      <c r="H13" s="103"/>
      <c r="I13" s="103"/>
      <c r="J13" s="110">
        <v>10000</v>
      </c>
      <c r="K13" s="111">
        <v>365.67</v>
      </c>
      <c r="L13" s="110">
        <v>10000</v>
      </c>
      <c r="M13" s="112">
        <v>10000</v>
      </c>
      <c r="N13" s="110">
        <v>0</v>
      </c>
      <c r="O13" s="113"/>
      <c r="P13" s="113"/>
      <c r="Q13" s="113"/>
      <c r="R13" s="113"/>
    </row>
    <row r="14" spans="1:18" ht="12.75">
      <c r="A14" s="100">
        <v>121</v>
      </c>
      <c r="B14" s="101" t="s">
        <v>117</v>
      </c>
      <c r="C14" s="102" t="s">
        <v>118</v>
      </c>
      <c r="D14" s="114"/>
      <c r="E14" s="115"/>
      <c r="F14" s="114"/>
      <c r="G14" s="116"/>
      <c r="H14" s="115"/>
      <c r="I14" s="115"/>
      <c r="J14" s="117">
        <v>26511</v>
      </c>
      <c r="K14" s="106">
        <v>14870.54</v>
      </c>
      <c r="L14" s="117">
        <v>26511</v>
      </c>
      <c r="M14" s="118">
        <v>26511</v>
      </c>
      <c r="N14" s="117">
        <v>0</v>
      </c>
      <c r="O14" s="108"/>
      <c r="P14" s="108"/>
      <c r="Q14" s="108"/>
      <c r="R14" s="109"/>
    </row>
    <row r="15" spans="1:18" ht="12.75">
      <c r="A15" s="100">
        <v>121</v>
      </c>
      <c r="B15" s="101" t="s">
        <v>117</v>
      </c>
      <c r="C15" s="102" t="s">
        <v>119</v>
      </c>
      <c r="D15" s="114"/>
      <c r="E15" s="115"/>
      <c r="F15" s="114"/>
      <c r="G15" s="116"/>
      <c r="H15" s="115"/>
      <c r="I15" s="115"/>
      <c r="J15" s="119">
        <v>3000</v>
      </c>
      <c r="K15" s="111">
        <v>749.04</v>
      </c>
      <c r="L15" s="119">
        <v>3000</v>
      </c>
      <c r="M15" s="120">
        <v>3000</v>
      </c>
      <c r="N15" s="119">
        <v>0</v>
      </c>
      <c r="O15" s="113"/>
      <c r="P15" s="113"/>
      <c r="Q15" s="113"/>
      <c r="R15" s="113"/>
    </row>
    <row r="16" spans="1:19" ht="12.75">
      <c r="A16" s="100">
        <v>121</v>
      </c>
      <c r="B16" s="101" t="s">
        <v>112</v>
      </c>
      <c r="C16" s="102" t="s">
        <v>120</v>
      </c>
      <c r="D16" s="114"/>
      <c r="E16" s="115"/>
      <c r="F16" s="114"/>
      <c r="G16" s="116"/>
      <c r="H16" s="115"/>
      <c r="I16" s="115"/>
      <c r="J16" s="117">
        <v>259</v>
      </c>
      <c r="K16" s="106">
        <v>258.79</v>
      </c>
      <c r="L16" s="121">
        <v>259</v>
      </c>
      <c r="M16" s="118">
        <v>270</v>
      </c>
      <c r="N16" s="117">
        <v>0</v>
      </c>
      <c r="O16" s="108"/>
      <c r="P16" s="108"/>
      <c r="Q16" s="108"/>
      <c r="R16" s="109"/>
      <c r="S16" s="122"/>
    </row>
    <row r="17" spans="1:18" ht="12.75">
      <c r="A17" s="123"/>
      <c r="B17" s="123"/>
      <c r="C17" s="123"/>
      <c r="D17" s="124"/>
      <c r="E17" s="125"/>
      <c r="F17" s="124"/>
      <c r="G17" s="126"/>
      <c r="H17" s="125"/>
      <c r="I17" s="125"/>
      <c r="J17" s="127"/>
      <c r="K17" s="127"/>
      <c r="L17" s="127"/>
      <c r="M17" s="125"/>
      <c r="N17" s="128"/>
      <c r="O17" s="109"/>
      <c r="P17" s="109"/>
      <c r="Q17" s="109"/>
      <c r="R17" s="109"/>
    </row>
    <row r="18" spans="1:18" s="137" customFormat="1" ht="12.75">
      <c r="A18" s="129" t="s">
        <v>121</v>
      </c>
      <c r="B18" s="130"/>
      <c r="C18" s="131"/>
      <c r="D18" s="132"/>
      <c r="E18" s="133"/>
      <c r="F18" s="132"/>
      <c r="G18" s="133"/>
      <c r="H18" s="132"/>
      <c r="I18" s="133"/>
      <c r="J18" s="134">
        <f>SUM(J19,J21,J22,J23,J25)</f>
        <v>65561</v>
      </c>
      <c r="K18" s="134">
        <f>SUM(K19,K21,K22,K23,K25)</f>
        <v>46865.840000000004</v>
      </c>
      <c r="L18" s="134">
        <f>L19+L21+L22+L23+L25</f>
        <v>65561</v>
      </c>
      <c r="M18" s="135">
        <f>SUM(M19,M21,M22,M23,M25)</f>
        <v>65361</v>
      </c>
      <c r="N18" s="133">
        <f>SUM(N19,N21,N22,N23,N25)</f>
        <v>0</v>
      </c>
      <c r="O18" s="136"/>
      <c r="P18" s="136"/>
      <c r="Q18" s="136"/>
      <c r="R18" s="136"/>
    </row>
    <row r="19" spans="1:18" ht="12.75">
      <c r="A19" s="88">
        <v>133</v>
      </c>
      <c r="B19" s="89" t="s">
        <v>114</v>
      </c>
      <c r="C19" s="90" t="s">
        <v>13</v>
      </c>
      <c r="D19" s="115"/>
      <c r="E19" s="115"/>
      <c r="F19" s="115"/>
      <c r="G19" s="138"/>
      <c r="H19" s="115"/>
      <c r="I19" s="115"/>
      <c r="J19" s="117">
        <v>2750</v>
      </c>
      <c r="K19" s="139">
        <v>2300.32</v>
      </c>
      <c r="L19" s="117">
        <v>2750</v>
      </c>
      <c r="M19" s="118">
        <v>2750</v>
      </c>
      <c r="N19" s="117">
        <v>0</v>
      </c>
      <c r="O19" s="108"/>
      <c r="P19" s="108"/>
      <c r="Q19" s="108"/>
      <c r="R19" s="109"/>
    </row>
    <row r="20" spans="1:18" ht="12.75">
      <c r="A20" s="88">
        <v>133</v>
      </c>
      <c r="B20" s="89" t="s">
        <v>114</v>
      </c>
      <c r="C20" s="90" t="s">
        <v>122</v>
      </c>
      <c r="D20" s="115"/>
      <c r="E20" s="115"/>
      <c r="F20" s="115"/>
      <c r="G20" s="138"/>
      <c r="H20" s="115"/>
      <c r="I20" s="115"/>
      <c r="J20" s="119">
        <v>250</v>
      </c>
      <c r="K20" s="140">
        <v>93.97</v>
      </c>
      <c r="L20" s="119">
        <v>250</v>
      </c>
      <c r="M20" s="120">
        <v>250</v>
      </c>
      <c r="N20" s="119">
        <v>0</v>
      </c>
      <c r="O20" s="113"/>
      <c r="P20" s="113"/>
      <c r="Q20" s="113"/>
      <c r="R20" s="113"/>
    </row>
    <row r="21" spans="1:18" ht="12.75">
      <c r="A21" s="100">
        <v>133</v>
      </c>
      <c r="B21" s="89" t="s">
        <v>112</v>
      </c>
      <c r="C21" s="90" t="s">
        <v>16</v>
      </c>
      <c r="D21" s="115"/>
      <c r="E21" s="115"/>
      <c r="F21" s="115"/>
      <c r="G21" s="138"/>
      <c r="H21" s="115"/>
      <c r="I21" s="115"/>
      <c r="J21" s="117">
        <v>0</v>
      </c>
      <c r="K21" s="139">
        <v>0</v>
      </c>
      <c r="L21" s="117">
        <v>0</v>
      </c>
      <c r="M21" s="118">
        <v>0</v>
      </c>
      <c r="N21" s="117">
        <v>0</v>
      </c>
      <c r="O21" s="108"/>
      <c r="P21" s="108"/>
      <c r="Q21" s="108"/>
      <c r="R21" s="109"/>
    </row>
    <row r="22" spans="1:18" ht="12.75">
      <c r="A22" s="100">
        <v>133</v>
      </c>
      <c r="B22" s="89" t="s">
        <v>123</v>
      </c>
      <c r="C22" s="90" t="s">
        <v>10</v>
      </c>
      <c r="D22" s="115"/>
      <c r="E22" s="115"/>
      <c r="F22" s="115"/>
      <c r="G22" s="138"/>
      <c r="H22" s="115"/>
      <c r="I22" s="115"/>
      <c r="J22" s="117">
        <v>1450</v>
      </c>
      <c r="K22" s="139">
        <v>602.94</v>
      </c>
      <c r="L22" s="117">
        <v>1450</v>
      </c>
      <c r="M22" s="118">
        <v>1250</v>
      </c>
      <c r="N22" s="117">
        <v>0</v>
      </c>
      <c r="O22" s="108"/>
      <c r="P22" s="108"/>
      <c r="Q22" s="108"/>
      <c r="R22" s="109"/>
    </row>
    <row r="23" spans="1:19" ht="12.75">
      <c r="A23" s="100">
        <v>133</v>
      </c>
      <c r="B23" s="89" t="s">
        <v>124</v>
      </c>
      <c r="C23" s="90" t="s">
        <v>125</v>
      </c>
      <c r="D23" s="115"/>
      <c r="E23" s="115"/>
      <c r="F23" s="115"/>
      <c r="G23" s="138"/>
      <c r="H23" s="115"/>
      <c r="I23" s="115"/>
      <c r="J23" s="117">
        <v>35000</v>
      </c>
      <c r="K23" s="139">
        <v>17601.25</v>
      </c>
      <c r="L23" s="117">
        <v>35000</v>
      </c>
      <c r="M23" s="118">
        <v>35000</v>
      </c>
      <c r="N23" s="117">
        <v>0</v>
      </c>
      <c r="O23" s="108"/>
      <c r="P23" s="108"/>
      <c r="Q23" s="108"/>
      <c r="R23" s="109"/>
      <c r="S23" s="141"/>
    </row>
    <row r="24" spans="1:18" ht="12.75">
      <c r="A24" s="100">
        <v>133</v>
      </c>
      <c r="B24" s="89" t="s">
        <v>124</v>
      </c>
      <c r="C24" s="90" t="s">
        <v>126</v>
      </c>
      <c r="D24" s="115"/>
      <c r="E24" s="115"/>
      <c r="F24" s="115"/>
      <c r="G24" s="138"/>
      <c r="H24" s="115"/>
      <c r="I24" s="115"/>
      <c r="J24" s="119">
        <v>4000</v>
      </c>
      <c r="K24" s="119">
        <v>2589.65</v>
      </c>
      <c r="L24" s="119">
        <v>4000</v>
      </c>
      <c r="M24" s="120">
        <v>4300</v>
      </c>
      <c r="N24" s="119">
        <v>0</v>
      </c>
      <c r="O24" s="113"/>
      <c r="P24" s="113"/>
      <c r="Q24" s="113"/>
      <c r="R24" s="109"/>
    </row>
    <row r="25" spans="1:19" ht="12.75">
      <c r="A25" s="142">
        <v>133</v>
      </c>
      <c r="B25" s="143" t="s">
        <v>127</v>
      </c>
      <c r="C25" s="144" t="s">
        <v>128</v>
      </c>
      <c r="D25" s="103"/>
      <c r="E25" s="103"/>
      <c r="F25" s="103"/>
      <c r="G25" s="104"/>
      <c r="H25" s="103"/>
      <c r="I25" s="103"/>
      <c r="J25" s="145">
        <v>26361</v>
      </c>
      <c r="K25" s="139">
        <v>26361.33</v>
      </c>
      <c r="L25" s="145">
        <v>26361</v>
      </c>
      <c r="M25" s="146">
        <v>26361</v>
      </c>
      <c r="N25" s="145">
        <v>0</v>
      </c>
      <c r="O25" s="108"/>
      <c r="P25" s="108"/>
      <c r="Q25" s="108"/>
      <c r="R25" s="109"/>
      <c r="S25" s="122"/>
    </row>
    <row r="26" spans="1:18" ht="12.75">
      <c r="A26" s="1252" t="s">
        <v>129</v>
      </c>
      <c r="B26" s="1252"/>
      <c r="C26" s="1252"/>
      <c r="D26" s="147"/>
      <c r="E26" s="148"/>
      <c r="F26" s="147"/>
      <c r="G26" s="148"/>
      <c r="H26" s="147"/>
      <c r="I26" s="148"/>
      <c r="J26" s="149">
        <f>SUM(J9,J18)</f>
        <v>831753</v>
      </c>
      <c r="K26" s="149">
        <f>SUM(K9,K18)</f>
        <v>374073.77</v>
      </c>
      <c r="L26" s="149">
        <f>L9+L18</f>
        <v>831753</v>
      </c>
      <c r="M26" s="150">
        <f>SUM(M9,M18)</f>
        <v>831564</v>
      </c>
      <c r="N26" s="151">
        <f>SUM(N9,N18)</f>
        <v>0</v>
      </c>
      <c r="O26" s="136"/>
      <c r="P26" s="136"/>
      <c r="Q26" s="136"/>
      <c r="R26" s="136"/>
    </row>
    <row r="27" spans="1:18" ht="12.75">
      <c r="A27" s="123"/>
      <c r="B27" s="152"/>
      <c r="C27" s="152"/>
      <c r="D27" s="153"/>
      <c r="E27" s="128"/>
      <c r="F27" s="153"/>
      <c r="G27" s="153"/>
      <c r="H27" s="128"/>
      <c r="I27" s="128"/>
      <c r="J27" s="128"/>
      <c r="K27" s="154"/>
      <c r="L27" s="154"/>
      <c r="M27" s="154"/>
      <c r="N27" s="125"/>
      <c r="O27" s="155"/>
      <c r="P27" s="155"/>
      <c r="Q27" s="155"/>
      <c r="R27" s="109"/>
    </row>
    <row r="28" spans="1:18" ht="12.75">
      <c r="A28" s="123"/>
      <c r="B28" s="152"/>
      <c r="C28" s="152"/>
      <c r="D28" s="153"/>
      <c r="E28" s="128"/>
      <c r="F28" s="153"/>
      <c r="G28" s="153"/>
      <c r="H28" s="128"/>
      <c r="I28" s="128"/>
      <c r="J28" s="128"/>
      <c r="K28" s="154"/>
      <c r="L28" s="154"/>
      <c r="M28" s="154"/>
      <c r="N28" s="125"/>
      <c r="O28" s="155"/>
      <c r="P28" s="155"/>
      <c r="Q28" s="155"/>
      <c r="R28" s="109"/>
    </row>
    <row r="29" spans="1:18" ht="15.75">
      <c r="A29" s="123"/>
      <c r="B29" s="152"/>
      <c r="C29" s="152"/>
      <c r="D29" s="153"/>
      <c r="E29" s="128"/>
      <c r="F29" s="153"/>
      <c r="G29" s="153"/>
      <c r="H29" s="128"/>
      <c r="I29" s="128"/>
      <c r="J29" s="128"/>
      <c r="K29" s="1251" t="s">
        <v>130</v>
      </c>
      <c r="L29" s="1251"/>
      <c r="M29" s="1251"/>
      <c r="N29" s="1251"/>
      <c r="O29" s="64"/>
      <c r="P29" s="64"/>
      <c r="Q29" s="64"/>
      <c r="R29" s="64"/>
    </row>
    <row r="30" spans="1:18" ht="15.75">
      <c r="A30" s="123"/>
      <c r="B30" s="152"/>
      <c r="C30" s="152"/>
      <c r="D30" s="153"/>
      <c r="E30" s="128"/>
      <c r="F30" s="153"/>
      <c r="G30" s="153"/>
      <c r="H30" s="128"/>
      <c r="I30" s="128"/>
      <c r="J30" s="128"/>
      <c r="K30" s="65"/>
      <c r="L30" s="65"/>
      <c r="M30" s="65"/>
      <c r="N30" s="66"/>
      <c r="O30" s="65"/>
      <c r="P30" s="65"/>
      <c r="Q30" s="65"/>
      <c r="R30" s="67"/>
    </row>
    <row r="31" spans="1:18" s="58" customFormat="1" ht="15.75">
      <c r="A31" s="68" t="s">
        <v>1</v>
      </c>
      <c r="B31" s="69"/>
      <c r="C31" s="70"/>
      <c r="D31" s="71"/>
      <c r="E31" s="72"/>
      <c r="F31" s="71"/>
      <c r="G31" s="72"/>
      <c r="H31" s="71"/>
      <c r="I31" s="72"/>
      <c r="J31" s="72">
        <v>2014</v>
      </c>
      <c r="K31" s="73" t="s">
        <v>108</v>
      </c>
      <c r="L31" s="74" t="s">
        <v>109</v>
      </c>
      <c r="M31" s="75" t="s">
        <v>110</v>
      </c>
      <c r="N31" s="73"/>
      <c r="O31" s="156"/>
      <c r="P31" s="156"/>
      <c r="Q31" s="156"/>
      <c r="R31" s="157"/>
    </row>
    <row r="32" spans="1:18" s="87" customFormat="1" ht="12.75">
      <c r="A32" s="129" t="s">
        <v>131</v>
      </c>
      <c r="B32" s="130"/>
      <c r="C32" s="131"/>
      <c r="D32" s="132"/>
      <c r="E32" s="133"/>
      <c r="F32" s="132"/>
      <c r="G32" s="133"/>
      <c r="H32" s="132"/>
      <c r="I32" s="133"/>
      <c r="J32" s="133">
        <f>SUM(J33,J34,J35,J36,J37)</f>
        <v>40000</v>
      </c>
      <c r="K32" s="133">
        <f>SUM(K33,K34,K35,K36,K37)</f>
        <v>14524.380000000001</v>
      </c>
      <c r="L32" s="133">
        <f>L33+L34+L35+L36+L37</f>
        <v>40000</v>
      </c>
      <c r="M32" s="135">
        <f>M33+M34+M35+M36+M37</f>
        <v>42500</v>
      </c>
      <c r="N32" s="133">
        <f>N33+N34+N35+N36+N37</f>
        <v>0</v>
      </c>
      <c r="O32" s="158"/>
      <c r="P32" s="158"/>
      <c r="Q32" s="158"/>
      <c r="R32" s="158"/>
    </row>
    <row r="33" spans="1:18" ht="12.75">
      <c r="A33" s="100">
        <v>211</v>
      </c>
      <c r="B33" s="89" t="s">
        <v>112</v>
      </c>
      <c r="C33" s="90" t="s">
        <v>132</v>
      </c>
      <c r="D33" s="92"/>
      <c r="E33" s="115"/>
      <c r="F33" s="92"/>
      <c r="G33" s="91"/>
      <c r="H33" s="115"/>
      <c r="I33" s="115"/>
      <c r="J33" s="117">
        <v>0</v>
      </c>
      <c r="K33" s="117">
        <v>0</v>
      </c>
      <c r="L33" s="117">
        <v>0</v>
      </c>
      <c r="M33" s="118">
        <v>0</v>
      </c>
      <c r="N33" s="117">
        <v>0</v>
      </c>
      <c r="O33" s="108"/>
      <c r="P33" s="108"/>
      <c r="Q33" s="108"/>
      <c r="R33" s="108"/>
    </row>
    <row r="34" spans="1:18" ht="12.75">
      <c r="A34" s="100">
        <v>212</v>
      </c>
      <c r="B34" s="89" t="s">
        <v>117</v>
      </c>
      <c r="C34" s="90" t="s">
        <v>26</v>
      </c>
      <c r="D34" s="92"/>
      <c r="E34" s="115"/>
      <c r="F34" s="92"/>
      <c r="G34" s="91"/>
      <c r="H34" s="115"/>
      <c r="I34" s="115"/>
      <c r="J34" s="117">
        <v>8000</v>
      </c>
      <c r="K34" s="117">
        <v>103.04</v>
      </c>
      <c r="L34" s="117">
        <v>8000</v>
      </c>
      <c r="M34" s="118">
        <v>8000</v>
      </c>
      <c r="N34" s="117">
        <v>0</v>
      </c>
      <c r="O34" s="108"/>
      <c r="P34" s="108"/>
      <c r="Q34" s="108"/>
      <c r="R34" s="108"/>
    </row>
    <row r="35" spans="1:19" ht="12.75">
      <c r="A35" s="100">
        <v>212</v>
      </c>
      <c r="B35" s="89" t="s">
        <v>112</v>
      </c>
      <c r="C35" s="90" t="s">
        <v>29</v>
      </c>
      <c r="D35" s="92"/>
      <c r="E35" s="115"/>
      <c r="F35" s="92"/>
      <c r="G35" s="91"/>
      <c r="H35" s="115"/>
      <c r="I35" s="115"/>
      <c r="J35" s="117">
        <v>17000</v>
      </c>
      <c r="K35" s="117">
        <v>8970.34</v>
      </c>
      <c r="L35" s="117">
        <v>17000</v>
      </c>
      <c r="M35" s="118">
        <v>23000</v>
      </c>
      <c r="N35" s="117">
        <v>0</v>
      </c>
      <c r="O35" s="108"/>
      <c r="P35" s="108"/>
      <c r="Q35" s="108"/>
      <c r="R35" s="108"/>
      <c r="S35" s="141"/>
    </row>
    <row r="36" spans="1:18" ht="12.75">
      <c r="A36" s="100">
        <v>212</v>
      </c>
      <c r="B36" s="89" t="s">
        <v>133</v>
      </c>
      <c r="C36" s="90" t="s">
        <v>134</v>
      </c>
      <c r="D36" s="92"/>
      <c r="E36" s="115"/>
      <c r="F36" s="92"/>
      <c r="G36" s="91"/>
      <c r="H36" s="115"/>
      <c r="I36" s="115"/>
      <c r="J36" s="117">
        <v>15000</v>
      </c>
      <c r="K36" s="117">
        <v>5451</v>
      </c>
      <c r="L36" s="117">
        <v>15000</v>
      </c>
      <c r="M36" s="118">
        <v>11500</v>
      </c>
      <c r="N36" s="117">
        <v>0</v>
      </c>
      <c r="O36" s="108"/>
      <c r="P36" s="108"/>
      <c r="Q36" s="108"/>
      <c r="R36" s="108"/>
    </row>
    <row r="37" spans="1:19" ht="12.75">
      <c r="A37" s="100">
        <v>212</v>
      </c>
      <c r="B37" s="89" t="s">
        <v>133</v>
      </c>
      <c r="C37" s="90" t="s">
        <v>135</v>
      </c>
      <c r="D37" s="92"/>
      <c r="E37" s="115"/>
      <c r="F37" s="92"/>
      <c r="G37" s="91"/>
      <c r="H37" s="115"/>
      <c r="I37" s="115"/>
      <c r="J37" s="117">
        <v>0</v>
      </c>
      <c r="K37" s="117"/>
      <c r="L37" s="117">
        <v>0</v>
      </c>
      <c r="M37" s="118">
        <v>0</v>
      </c>
      <c r="N37" s="117">
        <v>0</v>
      </c>
      <c r="O37" s="108"/>
      <c r="P37" s="108"/>
      <c r="Q37" s="108"/>
      <c r="R37" s="108"/>
      <c r="S37" s="159"/>
    </row>
    <row r="38" spans="1:18" ht="12.75">
      <c r="A38" s="123"/>
      <c r="B38" s="152"/>
      <c r="C38" s="152"/>
      <c r="D38" s="160"/>
      <c r="E38" s="125"/>
      <c r="F38" s="160"/>
      <c r="G38" s="161"/>
      <c r="H38" s="125"/>
      <c r="I38" s="125"/>
      <c r="J38" s="127"/>
      <c r="K38" s="127"/>
      <c r="L38" s="127"/>
      <c r="M38" s="125"/>
      <c r="N38" s="125"/>
      <c r="O38" s="109"/>
      <c r="P38" s="109"/>
      <c r="Q38" s="109"/>
      <c r="R38" s="109"/>
    </row>
    <row r="39" spans="1:18" s="137" customFormat="1" ht="12.75">
      <c r="A39" s="129" t="s">
        <v>136</v>
      </c>
      <c r="B39" s="130"/>
      <c r="C39" s="131"/>
      <c r="D39" s="132"/>
      <c r="E39" s="133"/>
      <c r="F39" s="132"/>
      <c r="G39" s="133"/>
      <c r="H39" s="132"/>
      <c r="I39" s="133"/>
      <c r="J39" s="133">
        <f>SUM(J40,J41,J42,J43,J44,J45,J46,J47,J48,J49)</f>
        <v>71800</v>
      </c>
      <c r="K39" s="133">
        <f>SUM(K40,K41,K42,K43,K44,K45,K46,K47,K48,K49)</f>
        <v>43612.1</v>
      </c>
      <c r="L39" s="133">
        <f>L40+L41+L42+L43+L44+L45+L46+L47+L48+L49</f>
        <v>71800</v>
      </c>
      <c r="M39" s="135">
        <f>M40+M41+M42+M43+M44+M45+M46+M47+M48+M49</f>
        <v>73600</v>
      </c>
      <c r="N39" s="133">
        <f>N40+N41+N42+N43+N44+N45+N46+N47+N48+N49</f>
        <v>0</v>
      </c>
      <c r="O39" s="158"/>
      <c r="P39" s="158"/>
      <c r="Q39" s="158"/>
      <c r="R39" s="158"/>
    </row>
    <row r="40" spans="1:18" ht="12.75">
      <c r="A40" s="100">
        <v>221</v>
      </c>
      <c r="B40" s="89" t="s">
        <v>133</v>
      </c>
      <c r="C40" s="90" t="s">
        <v>137</v>
      </c>
      <c r="D40" s="162"/>
      <c r="E40" s="163"/>
      <c r="F40" s="162"/>
      <c r="G40" s="164"/>
      <c r="H40" s="163"/>
      <c r="I40" s="163"/>
      <c r="J40" s="165">
        <v>20000</v>
      </c>
      <c r="K40" s="165">
        <v>7672.5</v>
      </c>
      <c r="L40" s="165">
        <v>20000</v>
      </c>
      <c r="M40" s="166">
        <v>20000</v>
      </c>
      <c r="N40" s="165">
        <v>0</v>
      </c>
      <c r="O40" s="108"/>
      <c r="P40" s="108"/>
      <c r="Q40" s="108"/>
      <c r="R40" s="108"/>
    </row>
    <row r="41" spans="1:18" ht="12.75">
      <c r="A41" s="100">
        <v>222</v>
      </c>
      <c r="B41" s="89" t="s">
        <v>112</v>
      </c>
      <c r="C41" s="90" t="s">
        <v>138</v>
      </c>
      <c r="D41" s="92"/>
      <c r="E41" s="115"/>
      <c r="F41" s="92"/>
      <c r="G41" s="91"/>
      <c r="H41" s="115"/>
      <c r="I41" s="115"/>
      <c r="J41" s="117">
        <v>2000</v>
      </c>
      <c r="K41" s="165">
        <v>1150</v>
      </c>
      <c r="L41" s="117">
        <v>2000</v>
      </c>
      <c r="M41" s="118">
        <v>2300</v>
      </c>
      <c r="N41" s="117">
        <v>0</v>
      </c>
      <c r="O41" s="108"/>
      <c r="P41" s="108"/>
      <c r="Q41" s="108"/>
      <c r="R41" s="108"/>
    </row>
    <row r="42" spans="1:18" ht="12.75">
      <c r="A42" s="100">
        <v>223</v>
      </c>
      <c r="B42" s="89" t="s">
        <v>114</v>
      </c>
      <c r="C42" s="90" t="s">
        <v>139</v>
      </c>
      <c r="D42" s="92"/>
      <c r="E42" s="115"/>
      <c r="F42" s="92"/>
      <c r="G42" s="91"/>
      <c r="H42" s="115"/>
      <c r="I42" s="115"/>
      <c r="J42" s="117">
        <v>700</v>
      </c>
      <c r="K42" s="165">
        <v>537</v>
      </c>
      <c r="L42" s="121">
        <v>700</v>
      </c>
      <c r="M42" s="118">
        <v>700</v>
      </c>
      <c r="N42" s="117">
        <v>0</v>
      </c>
      <c r="O42" s="108"/>
      <c r="P42" s="108"/>
      <c r="Q42" s="108"/>
      <c r="R42" s="108"/>
    </row>
    <row r="43" spans="1:18" ht="12.75">
      <c r="A43" s="100">
        <v>223</v>
      </c>
      <c r="B43" s="101" t="s">
        <v>114</v>
      </c>
      <c r="C43" s="90" t="s">
        <v>43</v>
      </c>
      <c r="D43" s="92"/>
      <c r="E43" s="115"/>
      <c r="F43" s="92"/>
      <c r="G43" s="91"/>
      <c r="H43" s="115"/>
      <c r="I43" s="115"/>
      <c r="J43" s="117">
        <v>7000</v>
      </c>
      <c r="K43" s="165">
        <v>3261.17</v>
      </c>
      <c r="L43" s="117">
        <v>7000</v>
      </c>
      <c r="M43" s="118">
        <v>5500</v>
      </c>
      <c r="N43" s="117">
        <v>0</v>
      </c>
      <c r="O43" s="108"/>
      <c r="P43" s="108"/>
      <c r="Q43" s="108"/>
      <c r="R43" s="108"/>
    </row>
    <row r="44" spans="1:18" ht="12.75">
      <c r="A44" s="100">
        <v>222</v>
      </c>
      <c r="B44" s="101" t="s">
        <v>112</v>
      </c>
      <c r="C44" s="90" t="s">
        <v>140</v>
      </c>
      <c r="D44" s="92"/>
      <c r="E44" s="115"/>
      <c r="F44" s="92"/>
      <c r="G44" s="91"/>
      <c r="H44" s="115"/>
      <c r="I44" s="115"/>
      <c r="J44" s="117">
        <v>0</v>
      </c>
      <c r="K44" s="165">
        <v>0</v>
      </c>
      <c r="L44" s="117">
        <v>0</v>
      </c>
      <c r="M44" s="118">
        <v>0</v>
      </c>
      <c r="N44" s="117">
        <v>0</v>
      </c>
      <c r="O44" s="108"/>
      <c r="P44" s="108"/>
      <c r="Q44" s="108"/>
      <c r="R44" s="108"/>
    </row>
    <row r="45" spans="1:20" ht="12.75">
      <c r="A45" s="100">
        <v>223</v>
      </c>
      <c r="B45" s="101" t="s">
        <v>117</v>
      </c>
      <c r="C45" s="90" t="s">
        <v>141</v>
      </c>
      <c r="D45" s="92"/>
      <c r="E45" s="115"/>
      <c r="F45" s="92"/>
      <c r="G45" s="91"/>
      <c r="H45" s="115"/>
      <c r="I45" s="115"/>
      <c r="J45" s="117">
        <v>2000</v>
      </c>
      <c r="K45" s="165">
        <v>1394</v>
      </c>
      <c r="L45" s="117">
        <v>2000</v>
      </c>
      <c r="M45" s="118">
        <v>2000</v>
      </c>
      <c r="N45" s="117">
        <v>0</v>
      </c>
      <c r="O45" s="108"/>
      <c r="P45" s="108"/>
      <c r="Q45" s="108"/>
      <c r="R45" s="108"/>
      <c r="S45" s="167"/>
      <c r="T45" s="123"/>
    </row>
    <row r="46" spans="1:19" ht="12.75">
      <c r="A46" s="100">
        <v>223</v>
      </c>
      <c r="B46" s="101" t="s">
        <v>112</v>
      </c>
      <c r="C46" s="90" t="s">
        <v>142</v>
      </c>
      <c r="D46" s="92"/>
      <c r="E46" s="115"/>
      <c r="F46" s="92"/>
      <c r="G46" s="91"/>
      <c r="H46" s="115"/>
      <c r="I46" s="115"/>
      <c r="J46" s="117">
        <v>10000</v>
      </c>
      <c r="K46" s="165">
        <v>6923.11</v>
      </c>
      <c r="L46" s="117">
        <v>10000</v>
      </c>
      <c r="M46" s="118">
        <v>12000</v>
      </c>
      <c r="N46" s="117">
        <v>0</v>
      </c>
      <c r="O46" s="108"/>
      <c r="P46" s="108"/>
      <c r="Q46" s="108"/>
      <c r="R46" s="108"/>
      <c r="S46" s="168"/>
    </row>
    <row r="47" spans="1:18" ht="12.75">
      <c r="A47" s="100">
        <v>223</v>
      </c>
      <c r="B47" s="101" t="s">
        <v>112</v>
      </c>
      <c r="C47" s="90" t="s">
        <v>143</v>
      </c>
      <c r="D47" s="115"/>
      <c r="E47" s="169"/>
      <c r="F47" s="115"/>
      <c r="G47" s="138"/>
      <c r="H47" s="169"/>
      <c r="I47" s="169"/>
      <c r="J47" s="117">
        <v>5000</v>
      </c>
      <c r="K47" s="165">
        <v>3496.84</v>
      </c>
      <c r="L47" s="117">
        <v>5000</v>
      </c>
      <c r="M47" s="118">
        <v>6000</v>
      </c>
      <c r="N47" s="117">
        <v>0</v>
      </c>
      <c r="O47" s="108"/>
      <c r="P47" s="108"/>
      <c r="Q47" s="108"/>
      <c r="R47" s="108"/>
    </row>
    <row r="48" spans="1:18" ht="12.75">
      <c r="A48" s="100">
        <v>223</v>
      </c>
      <c r="B48" s="101" t="s">
        <v>112</v>
      </c>
      <c r="C48" s="90" t="s">
        <v>144</v>
      </c>
      <c r="D48" s="115"/>
      <c r="E48" s="115"/>
      <c r="F48" s="115"/>
      <c r="G48" s="138"/>
      <c r="H48" s="115"/>
      <c r="I48" s="115"/>
      <c r="J48" s="117">
        <v>25000</v>
      </c>
      <c r="K48" s="165">
        <v>19177.48</v>
      </c>
      <c r="L48" s="121">
        <v>25000</v>
      </c>
      <c r="M48" s="118">
        <v>25000</v>
      </c>
      <c r="N48" s="117">
        <v>0</v>
      </c>
      <c r="O48" s="108"/>
      <c r="P48" s="108"/>
      <c r="Q48" s="108"/>
      <c r="R48" s="108"/>
    </row>
    <row r="49" spans="1:19" ht="12.75">
      <c r="A49" s="100">
        <v>229</v>
      </c>
      <c r="B49" s="89" t="s">
        <v>145</v>
      </c>
      <c r="C49" s="90" t="s">
        <v>146</v>
      </c>
      <c r="D49" s="115"/>
      <c r="E49" s="115"/>
      <c r="F49" s="115"/>
      <c r="G49" s="138"/>
      <c r="H49" s="115"/>
      <c r="I49" s="115"/>
      <c r="J49" s="117">
        <v>100</v>
      </c>
      <c r="K49" s="165">
        <v>0</v>
      </c>
      <c r="L49" s="117">
        <v>100</v>
      </c>
      <c r="M49" s="170">
        <v>100</v>
      </c>
      <c r="N49" s="117">
        <v>0</v>
      </c>
      <c r="O49" s="108"/>
      <c r="P49" s="108"/>
      <c r="Q49" s="108"/>
      <c r="R49" s="108"/>
      <c r="S49" s="171"/>
    </row>
    <row r="50" spans="1:18" ht="12.75">
      <c r="A50" s="123"/>
      <c r="B50" s="152"/>
      <c r="C50" s="152"/>
      <c r="D50" s="124"/>
      <c r="E50" s="125"/>
      <c r="F50" s="124"/>
      <c r="G50" s="126"/>
      <c r="H50" s="125"/>
      <c r="I50" s="125"/>
      <c r="J50" s="127"/>
      <c r="K50" s="127"/>
      <c r="L50" s="154"/>
      <c r="M50" s="125"/>
      <c r="N50" s="125"/>
      <c r="O50" s="109"/>
      <c r="P50" s="109"/>
      <c r="Q50" s="109"/>
      <c r="R50" s="109"/>
    </row>
    <row r="51" spans="1:18" s="137" customFormat="1" ht="12.75">
      <c r="A51" s="129" t="s">
        <v>147</v>
      </c>
      <c r="B51" s="130"/>
      <c r="C51" s="131"/>
      <c r="D51" s="132"/>
      <c r="E51" s="133"/>
      <c r="F51" s="132"/>
      <c r="G51" s="133"/>
      <c r="H51" s="132"/>
      <c r="I51" s="133"/>
      <c r="J51" s="172">
        <f>SUM(J52,J53,J54,J55,J56,J57)</f>
        <v>450</v>
      </c>
      <c r="K51" s="172">
        <f>SUM(K52,K53,K54,K55,K56,K57)</f>
        <v>307.91</v>
      </c>
      <c r="L51" s="133">
        <f>L52+L53+L54+L55+L56+L57</f>
        <v>600</v>
      </c>
      <c r="M51" s="135">
        <f>M52+M53+M54+M55+M56+M57</f>
        <v>762</v>
      </c>
      <c r="N51" s="133">
        <f>N52+N53+N54+N55+N56+N57</f>
        <v>0</v>
      </c>
      <c r="O51" s="158"/>
      <c r="P51" s="158"/>
      <c r="Q51" s="158"/>
      <c r="R51" s="158"/>
    </row>
    <row r="52" spans="1:18" s="58" customFormat="1" ht="12.75">
      <c r="A52" s="88">
        <v>242</v>
      </c>
      <c r="B52" s="89"/>
      <c r="C52" s="90" t="s">
        <v>148</v>
      </c>
      <c r="D52" s="173"/>
      <c r="E52" s="173"/>
      <c r="F52" s="173"/>
      <c r="G52" s="174"/>
      <c r="H52" s="173"/>
      <c r="I52" s="173"/>
      <c r="J52" s="175">
        <v>100</v>
      </c>
      <c r="K52" s="176">
        <v>39.14</v>
      </c>
      <c r="L52" s="175">
        <v>150</v>
      </c>
      <c r="M52" s="175">
        <v>100</v>
      </c>
      <c r="N52" s="177">
        <v>0</v>
      </c>
      <c r="O52" s="108"/>
      <c r="P52" s="108"/>
      <c r="Q52" s="108"/>
      <c r="R52" s="108"/>
    </row>
    <row r="53" spans="1:18" s="58" customFormat="1" ht="12.75">
      <c r="A53" s="178">
        <v>242</v>
      </c>
      <c r="B53" s="143"/>
      <c r="C53" s="143" t="s">
        <v>149</v>
      </c>
      <c r="D53" s="92"/>
      <c r="E53" s="92"/>
      <c r="F53" s="92"/>
      <c r="G53" s="91"/>
      <c r="H53" s="92"/>
      <c r="I53" s="92"/>
      <c r="J53" s="179">
        <v>0</v>
      </c>
      <c r="K53" s="176">
        <v>2.15</v>
      </c>
      <c r="L53" s="179">
        <v>0</v>
      </c>
      <c r="M53" s="179">
        <v>50</v>
      </c>
      <c r="N53" s="121">
        <v>0</v>
      </c>
      <c r="O53" s="108"/>
      <c r="P53" s="108"/>
      <c r="Q53" s="108"/>
      <c r="R53" s="108"/>
    </row>
    <row r="54" spans="1:18" s="58" customFormat="1" ht="12.75">
      <c r="A54" s="178">
        <v>292</v>
      </c>
      <c r="B54" s="143" t="s">
        <v>150</v>
      </c>
      <c r="C54" s="144" t="s">
        <v>151</v>
      </c>
      <c r="D54" s="173"/>
      <c r="E54" s="173"/>
      <c r="F54" s="173"/>
      <c r="G54" s="174"/>
      <c r="H54" s="173"/>
      <c r="I54" s="173"/>
      <c r="J54" s="175">
        <v>0</v>
      </c>
      <c r="K54" s="176">
        <v>0</v>
      </c>
      <c r="L54" s="175">
        <v>0</v>
      </c>
      <c r="M54" s="175">
        <v>0</v>
      </c>
      <c r="N54" s="177">
        <v>0</v>
      </c>
      <c r="O54" s="108"/>
      <c r="P54" s="108"/>
      <c r="Q54" s="108"/>
      <c r="R54" s="108"/>
    </row>
    <row r="55" spans="1:18" ht="12.75">
      <c r="A55" s="142">
        <v>292</v>
      </c>
      <c r="B55" s="180" t="s">
        <v>152</v>
      </c>
      <c r="C55" s="144" t="s">
        <v>153</v>
      </c>
      <c r="D55" s="181"/>
      <c r="E55" s="103"/>
      <c r="F55" s="181"/>
      <c r="G55" s="182"/>
      <c r="H55" s="103"/>
      <c r="I55" s="103"/>
      <c r="J55" s="146">
        <v>200</v>
      </c>
      <c r="K55" s="176">
        <v>266.62</v>
      </c>
      <c r="L55" s="183">
        <v>300</v>
      </c>
      <c r="M55" s="146">
        <v>370</v>
      </c>
      <c r="N55" s="145">
        <v>0</v>
      </c>
      <c r="O55" s="108"/>
      <c r="P55" s="108"/>
      <c r="Q55" s="108"/>
      <c r="R55" s="108"/>
    </row>
    <row r="56" spans="1:18" ht="12.75">
      <c r="A56" s="142">
        <v>292</v>
      </c>
      <c r="B56" s="180" t="s">
        <v>154</v>
      </c>
      <c r="C56" s="144" t="s">
        <v>155</v>
      </c>
      <c r="D56" s="181"/>
      <c r="E56" s="103"/>
      <c r="F56" s="181"/>
      <c r="G56" s="182"/>
      <c r="H56" s="103"/>
      <c r="I56" s="103"/>
      <c r="J56" s="146">
        <v>150</v>
      </c>
      <c r="K56" s="176">
        <v>0</v>
      </c>
      <c r="L56" s="146">
        <v>150</v>
      </c>
      <c r="M56" s="146">
        <v>242</v>
      </c>
      <c r="N56" s="145">
        <v>0</v>
      </c>
      <c r="O56" s="108"/>
      <c r="P56" s="108"/>
      <c r="Q56" s="108"/>
      <c r="R56" s="108"/>
    </row>
    <row r="57" spans="1:19" ht="12.75">
      <c r="A57" s="184">
        <v>292</v>
      </c>
      <c r="B57" s="185" t="s">
        <v>156</v>
      </c>
      <c r="C57" s="144" t="s">
        <v>157</v>
      </c>
      <c r="D57" s="181"/>
      <c r="E57" s="103"/>
      <c r="F57" s="181"/>
      <c r="G57" s="182"/>
      <c r="H57" s="103"/>
      <c r="I57" s="103"/>
      <c r="J57" s="146">
        <v>0</v>
      </c>
      <c r="K57" s="176">
        <v>0</v>
      </c>
      <c r="L57" s="146">
        <v>0</v>
      </c>
      <c r="M57" s="146">
        <v>0</v>
      </c>
      <c r="N57" s="145">
        <v>0</v>
      </c>
      <c r="O57" s="108"/>
      <c r="P57" s="108"/>
      <c r="Q57" s="108"/>
      <c r="R57" s="108"/>
      <c r="S57" s="159"/>
    </row>
    <row r="58" spans="1:18" ht="12.75">
      <c r="A58" s="1252" t="s">
        <v>158</v>
      </c>
      <c r="B58" s="1252"/>
      <c r="C58" s="1252"/>
      <c r="D58" s="186"/>
      <c r="E58" s="148"/>
      <c r="F58" s="186"/>
      <c r="G58" s="148"/>
      <c r="H58" s="186"/>
      <c r="I58" s="148"/>
      <c r="J58" s="187">
        <f>SUM(J32,J39,J51)</f>
        <v>112250</v>
      </c>
      <c r="K58" s="187">
        <f>SUM(K32,K39,K51)</f>
        <v>58444.39</v>
      </c>
      <c r="L58" s="148">
        <f>L32+L39+L51</f>
        <v>112400</v>
      </c>
      <c r="M58" s="188">
        <f>SUM(M32,M39,M51)</f>
        <v>116862</v>
      </c>
      <c r="N58" s="148">
        <f>SUM(N32,N39,N51)</f>
        <v>0</v>
      </c>
      <c r="O58" s="158"/>
      <c r="P58" s="158"/>
      <c r="Q58" s="158"/>
      <c r="R58" s="158"/>
    </row>
    <row r="59" spans="1:18" ht="12.75">
      <c r="A59" s="189"/>
      <c r="B59" s="189"/>
      <c r="C59" s="152"/>
      <c r="D59" s="190"/>
      <c r="E59" s="128"/>
      <c r="F59" s="190"/>
      <c r="G59" s="191"/>
      <c r="H59" s="128"/>
      <c r="I59" s="128"/>
      <c r="J59" s="128"/>
      <c r="K59" s="154"/>
      <c r="L59" s="154"/>
      <c r="M59" s="154"/>
      <c r="N59" s="125"/>
      <c r="O59" s="155"/>
      <c r="P59" s="155"/>
      <c r="Q59" s="155"/>
      <c r="R59" s="109"/>
    </row>
    <row r="60" spans="1:18" ht="12.75">
      <c r="A60" s="189"/>
      <c r="B60" s="189"/>
      <c r="C60" s="152"/>
      <c r="D60" s="190"/>
      <c r="E60" s="128"/>
      <c r="F60" s="190"/>
      <c r="G60" s="191"/>
      <c r="H60" s="128"/>
      <c r="I60" s="128"/>
      <c r="J60" s="128"/>
      <c r="K60" s="154"/>
      <c r="L60" s="154"/>
      <c r="M60" s="154"/>
      <c r="N60" s="125"/>
      <c r="O60" s="155"/>
      <c r="P60" s="155"/>
      <c r="Q60" s="155"/>
      <c r="R60" s="109"/>
    </row>
    <row r="61" spans="1:18" ht="15.75">
      <c r="A61" s="189"/>
      <c r="B61" s="189"/>
      <c r="C61" s="152"/>
      <c r="D61" s="190"/>
      <c r="E61" s="128"/>
      <c r="F61" s="190"/>
      <c r="G61" s="191"/>
      <c r="H61" s="128"/>
      <c r="I61" s="192" t="s">
        <v>159</v>
      </c>
      <c r="J61" s="192"/>
      <c r="K61" s="1254" t="s">
        <v>159</v>
      </c>
      <c r="L61" s="1254"/>
      <c r="M61" s="1254"/>
      <c r="N61" s="1254"/>
      <c r="O61" s="193"/>
      <c r="P61" s="193"/>
      <c r="Q61" s="193"/>
      <c r="R61" s="193"/>
    </row>
    <row r="62" spans="1:18" ht="12.75">
      <c r="A62" s="189"/>
      <c r="B62" s="189"/>
      <c r="C62" s="152"/>
      <c r="D62" s="190"/>
      <c r="E62" s="128"/>
      <c r="F62" s="190"/>
      <c r="G62" s="191"/>
      <c r="H62" s="128"/>
      <c r="I62" s="128"/>
      <c r="J62" s="128"/>
      <c r="K62" s="154"/>
      <c r="L62" s="154"/>
      <c r="M62" s="154"/>
      <c r="N62" s="125"/>
      <c r="O62" s="155"/>
      <c r="P62" s="155"/>
      <c r="Q62" s="155"/>
      <c r="R62" s="109"/>
    </row>
    <row r="63" spans="1:18" ht="15.75">
      <c r="A63" s="68" t="s">
        <v>1</v>
      </c>
      <c r="B63" s="69"/>
      <c r="C63" s="70"/>
      <c r="D63" s="71"/>
      <c r="E63" s="72"/>
      <c r="F63" s="71"/>
      <c r="G63" s="72"/>
      <c r="H63" s="71"/>
      <c r="I63" s="72"/>
      <c r="J63" s="72">
        <v>2014</v>
      </c>
      <c r="K63" s="73" t="s">
        <v>108</v>
      </c>
      <c r="L63" s="74" t="s">
        <v>109</v>
      </c>
      <c r="M63" s="75" t="s">
        <v>110</v>
      </c>
      <c r="N63" s="73"/>
      <c r="O63" s="76"/>
      <c r="P63" s="76"/>
      <c r="Q63" s="76"/>
      <c r="R63" s="77"/>
    </row>
    <row r="64" spans="1:18" s="87" customFormat="1" ht="12.75">
      <c r="A64" s="129" t="s">
        <v>160</v>
      </c>
      <c r="B64" s="130"/>
      <c r="C64" s="131"/>
      <c r="D64" s="132"/>
      <c r="E64" s="133"/>
      <c r="F64" s="132"/>
      <c r="G64" s="133"/>
      <c r="H64" s="132"/>
      <c r="I64" s="133"/>
      <c r="J64" s="133">
        <f>SUM(J65,J66,J67,J68,J69,J70,J71,J72,J73,J74,J75,J80,J81,J82,J83,J84,J85)</f>
        <v>574950</v>
      </c>
      <c r="K64" s="133">
        <f>SUM(K65,K66,K67,K68,K69,K70,K71,K72,K73,K74,K75,K76,K77,K78,K79,K80,K81,K82,K83,K84,K85,K86)</f>
        <v>331183.97000000003</v>
      </c>
      <c r="L64" s="133">
        <f>L65+L66+L67+L68+L69+L70+L71+L72+L73+L74+L75+L80+L81+L82+L83+L85+L76+L77+L79+L78+L86+L84</f>
        <v>599350</v>
      </c>
      <c r="M64" s="135">
        <f>M65+M66+M67+M68+M69+M70+M71+M72+M73+M74+M75+M80+M81+M82+M83+M76+M77+M78+M84+M85+M86</f>
        <v>665897</v>
      </c>
      <c r="N64" s="133">
        <f>N65+N66+N67+N68+N69+N70+N71+N72+N73+N74+N75+N80+N81+N82+N83</f>
        <v>0</v>
      </c>
      <c r="O64" s="158"/>
      <c r="P64" s="158"/>
      <c r="Q64" s="158"/>
      <c r="R64" s="158"/>
    </row>
    <row r="65" spans="1:18" s="87" customFormat="1" ht="12.75">
      <c r="A65" s="88">
        <v>312</v>
      </c>
      <c r="B65" s="89" t="s">
        <v>114</v>
      </c>
      <c r="C65" s="90" t="s">
        <v>161</v>
      </c>
      <c r="D65" s="194"/>
      <c r="E65" s="92"/>
      <c r="F65" s="92"/>
      <c r="G65" s="195"/>
      <c r="H65" s="92"/>
      <c r="I65" s="92"/>
      <c r="J65" s="121">
        <v>400</v>
      </c>
      <c r="K65" s="121">
        <v>0</v>
      </c>
      <c r="L65" s="196">
        <v>0</v>
      </c>
      <c r="M65" s="179">
        <v>0</v>
      </c>
      <c r="N65" s="121">
        <v>0</v>
      </c>
      <c r="O65" s="108"/>
      <c r="P65" s="108"/>
      <c r="Q65" s="108"/>
      <c r="R65" s="108"/>
    </row>
    <row r="66" spans="1:18" s="87" customFormat="1" ht="12.75">
      <c r="A66" s="88">
        <v>312</v>
      </c>
      <c r="B66" s="89" t="s">
        <v>114</v>
      </c>
      <c r="C66" s="90" t="s">
        <v>162</v>
      </c>
      <c r="D66" s="92"/>
      <c r="E66" s="92"/>
      <c r="F66" s="92"/>
      <c r="G66" s="91"/>
      <c r="H66" s="92"/>
      <c r="I66" s="92"/>
      <c r="J66" s="121">
        <v>435000</v>
      </c>
      <c r="K66" s="121">
        <v>247988</v>
      </c>
      <c r="L66" s="121">
        <v>435000</v>
      </c>
      <c r="M66" s="179">
        <v>494935</v>
      </c>
      <c r="N66" s="121">
        <v>0</v>
      </c>
      <c r="O66" s="108"/>
      <c r="P66" s="108"/>
      <c r="Q66" s="108"/>
      <c r="R66" s="108"/>
    </row>
    <row r="67" spans="1:18" s="87" customFormat="1" ht="12.75">
      <c r="A67" s="88">
        <v>312</v>
      </c>
      <c r="B67" s="89" t="s">
        <v>114</v>
      </c>
      <c r="C67" s="90" t="s">
        <v>163</v>
      </c>
      <c r="D67" s="194"/>
      <c r="E67" s="92"/>
      <c r="F67" s="194"/>
      <c r="G67" s="195"/>
      <c r="H67" s="92"/>
      <c r="I67" s="92"/>
      <c r="J67" s="121">
        <v>0</v>
      </c>
      <c r="K67" s="121">
        <v>0</v>
      </c>
      <c r="L67" s="121">
        <v>0</v>
      </c>
      <c r="M67" s="179">
        <v>0</v>
      </c>
      <c r="N67" s="121">
        <v>0</v>
      </c>
      <c r="O67" s="108"/>
      <c r="P67" s="108"/>
      <c r="Q67" s="108"/>
      <c r="R67" s="108"/>
    </row>
    <row r="68" spans="1:18" ht="12.75">
      <c r="A68" s="100">
        <v>312</v>
      </c>
      <c r="B68" s="101" t="s">
        <v>114</v>
      </c>
      <c r="C68" s="90" t="s">
        <v>164</v>
      </c>
      <c r="D68" s="115"/>
      <c r="E68" s="115"/>
      <c r="F68" s="115"/>
      <c r="G68" s="138"/>
      <c r="H68" s="115"/>
      <c r="I68" s="115"/>
      <c r="J68" s="117">
        <v>5000</v>
      </c>
      <c r="K68" s="121">
        <v>2442</v>
      </c>
      <c r="L68" s="121">
        <v>5000</v>
      </c>
      <c r="M68" s="118">
        <v>4720</v>
      </c>
      <c r="N68" s="117">
        <v>0</v>
      </c>
      <c r="O68" s="108"/>
      <c r="P68" s="108"/>
      <c r="Q68" s="108"/>
      <c r="R68" s="108"/>
    </row>
    <row r="69" spans="1:18" ht="12.75">
      <c r="A69" s="100">
        <v>312</v>
      </c>
      <c r="B69" s="101" t="s">
        <v>114</v>
      </c>
      <c r="C69" s="90" t="s">
        <v>165</v>
      </c>
      <c r="D69" s="115"/>
      <c r="E69" s="115"/>
      <c r="F69" s="115"/>
      <c r="G69" s="138"/>
      <c r="H69" s="115"/>
      <c r="I69" s="115"/>
      <c r="J69" s="117">
        <v>4800</v>
      </c>
      <c r="K69" s="121">
        <v>2382</v>
      </c>
      <c r="L69" s="117">
        <v>4800</v>
      </c>
      <c r="M69" s="118">
        <v>4850</v>
      </c>
      <c r="N69" s="117">
        <v>0</v>
      </c>
      <c r="O69" s="108"/>
      <c r="P69" s="108"/>
      <c r="Q69" s="108"/>
      <c r="R69" s="108"/>
    </row>
    <row r="70" spans="1:21" ht="12.75">
      <c r="A70" s="100">
        <v>312</v>
      </c>
      <c r="B70" s="101" t="s">
        <v>114</v>
      </c>
      <c r="C70" s="90" t="s">
        <v>166</v>
      </c>
      <c r="D70" s="163"/>
      <c r="E70" s="163"/>
      <c r="F70" s="115"/>
      <c r="G70" s="197"/>
      <c r="H70" s="163"/>
      <c r="I70" s="163"/>
      <c r="J70" s="165">
        <v>5000</v>
      </c>
      <c r="K70" s="121">
        <v>2665.6</v>
      </c>
      <c r="L70" s="198">
        <v>5000</v>
      </c>
      <c r="M70" s="166">
        <v>7740</v>
      </c>
      <c r="N70" s="165">
        <v>0</v>
      </c>
      <c r="O70" s="108"/>
      <c r="P70" s="108"/>
      <c r="Q70" s="108"/>
      <c r="R70" s="108"/>
      <c r="S70" s="199"/>
      <c r="T70" s="199"/>
      <c r="U70" s="199"/>
    </row>
    <row r="71" spans="1:21" s="58" customFormat="1" ht="12.75">
      <c r="A71" s="88">
        <v>312</v>
      </c>
      <c r="B71" s="89" t="s">
        <v>114</v>
      </c>
      <c r="C71" s="90" t="s">
        <v>167</v>
      </c>
      <c r="D71" s="200"/>
      <c r="E71" s="92"/>
      <c r="F71" s="200"/>
      <c r="G71" s="201"/>
      <c r="H71" s="92"/>
      <c r="I71" s="92"/>
      <c r="J71" s="121">
        <v>10000</v>
      </c>
      <c r="K71" s="121">
        <v>6510</v>
      </c>
      <c r="L71" s="121">
        <v>10000</v>
      </c>
      <c r="M71" s="179">
        <v>11890</v>
      </c>
      <c r="N71" s="121">
        <v>0</v>
      </c>
      <c r="O71" s="108"/>
      <c r="P71" s="108"/>
      <c r="Q71" s="108"/>
      <c r="R71" s="108"/>
      <c r="S71" s="202"/>
      <c r="T71" s="202"/>
      <c r="U71" s="202"/>
    </row>
    <row r="72" spans="1:21" s="58" customFormat="1" ht="12.75">
      <c r="A72" s="88">
        <v>312</v>
      </c>
      <c r="B72" s="89" t="s">
        <v>168</v>
      </c>
      <c r="C72" s="90" t="s">
        <v>169</v>
      </c>
      <c r="D72" s="203"/>
      <c r="E72" s="181"/>
      <c r="F72" s="203"/>
      <c r="G72" s="204"/>
      <c r="H72" s="181"/>
      <c r="I72" s="181"/>
      <c r="J72" s="105">
        <v>250</v>
      </c>
      <c r="K72" s="121">
        <v>0</v>
      </c>
      <c r="L72" s="205">
        <v>0</v>
      </c>
      <c r="M72" s="107">
        <v>0</v>
      </c>
      <c r="N72" s="105">
        <v>0</v>
      </c>
      <c r="O72" s="108"/>
      <c r="P72" s="108"/>
      <c r="Q72" s="108"/>
      <c r="R72" s="108"/>
      <c r="S72" s="202"/>
      <c r="T72" s="202"/>
      <c r="U72" s="202"/>
    </row>
    <row r="73" spans="1:21" s="58" customFormat="1" ht="12.75">
      <c r="A73" s="88">
        <v>312</v>
      </c>
      <c r="B73" s="89" t="s">
        <v>114</v>
      </c>
      <c r="C73" s="90" t="s">
        <v>71</v>
      </c>
      <c r="D73" s="203"/>
      <c r="E73" s="181"/>
      <c r="F73" s="203"/>
      <c r="G73" s="204"/>
      <c r="H73" s="181"/>
      <c r="I73" s="181"/>
      <c r="J73" s="105">
        <v>3500</v>
      </c>
      <c r="K73" s="121">
        <v>1800</v>
      </c>
      <c r="L73" s="105">
        <v>3500</v>
      </c>
      <c r="M73" s="107">
        <v>3488</v>
      </c>
      <c r="N73" s="105">
        <v>0</v>
      </c>
      <c r="O73" s="108"/>
      <c r="P73" s="108"/>
      <c r="Q73" s="108"/>
      <c r="R73" s="108"/>
      <c r="S73" s="202"/>
      <c r="T73" s="202"/>
      <c r="U73" s="202"/>
    </row>
    <row r="74" spans="1:21" s="58" customFormat="1" ht="12.75" customHeight="1">
      <c r="A74" s="88">
        <v>312</v>
      </c>
      <c r="B74" s="89" t="s">
        <v>114</v>
      </c>
      <c r="C74" s="90" t="s">
        <v>73</v>
      </c>
      <c r="D74" s="203"/>
      <c r="E74" s="181"/>
      <c r="F74" s="203"/>
      <c r="G74" s="204"/>
      <c r="H74" s="181"/>
      <c r="I74" s="181"/>
      <c r="J74" s="105">
        <v>8000</v>
      </c>
      <c r="K74" s="121">
        <v>5134</v>
      </c>
      <c r="L74" s="105">
        <v>8000</v>
      </c>
      <c r="M74" s="107">
        <v>8403</v>
      </c>
      <c r="N74" s="105">
        <v>0</v>
      </c>
      <c r="O74" s="108"/>
      <c r="P74" s="108"/>
      <c r="Q74" s="108"/>
      <c r="R74" s="108"/>
      <c r="S74" s="206"/>
      <c r="T74" s="202"/>
      <c r="U74" s="207"/>
    </row>
    <row r="75" spans="1:21" s="58" customFormat="1" ht="12.75">
      <c r="A75" s="88">
        <v>312</v>
      </c>
      <c r="B75" s="89" t="s">
        <v>114</v>
      </c>
      <c r="C75" s="90" t="s">
        <v>170</v>
      </c>
      <c r="D75" s="200"/>
      <c r="E75" s="92"/>
      <c r="F75" s="200"/>
      <c r="G75" s="201"/>
      <c r="H75" s="92"/>
      <c r="I75" s="92"/>
      <c r="J75" s="121">
        <v>1500</v>
      </c>
      <c r="K75" s="121">
        <v>796.74</v>
      </c>
      <c r="L75" s="121">
        <v>1350</v>
      </c>
      <c r="M75" s="179">
        <v>2050</v>
      </c>
      <c r="N75" s="121">
        <v>0</v>
      </c>
      <c r="O75" s="108"/>
      <c r="P75" s="108"/>
      <c r="Q75" s="108"/>
      <c r="R75" s="108"/>
      <c r="S75" s="208"/>
      <c r="T75" s="208"/>
      <c r="U75" s="208"/>
    </row>
    <row r="76" spans="1:21" s="58" customFormat="1" ht="12.75">
      <c r="A76" s="88">
        <v>312</v>
      </c>
      <c r="B76" s="89" t="s">
        <v>114</v>
      </c>
      <c r="C76" s="90" t="s">
        <v>171</v>
      </c>
      <c r="D76" s="200"/>
      <c r="E76" s="92"/>
      <c r="F76" s="200"/>
      <c r="G76" s="201"/>
      <c r="H76" s="92"/>
      <c r="I76" s="92"/>
      <c r="J76" s="121">
        <v>0</v>
      </c>
      <c r="K76" s="121">
        <v>906.5</v>
      </c>
      <c r="L76" s="121">
        <v>1800</v>
      </c>
      <c r="M76" s="179">
        <v>1530</v>
      </c>
      <c r="N76" s="121"/>
      <c r="O76" s="108"/>
      <c r="P76" s="108"/>
      <c r="Q76" s="108"/>
      <c r="R76" s="108"/>
      <c r="S76" s="208"/>
      <c r="T76" s="208"/>
      <c r="U76" s="208"/>
    </row>
    <row r="77" spans="1:21" s="58" customFormat="1" ht="12.75">
      <c r="A77" s="88">
        <v>312</v>
      </c>
      <c r="B77" s="89" t="s">
        <v>114</v>
      </c>
      <c r="C77" s="90" t="s">
        <v>172</v>
      </c>
      <c r="D77" s="200"/>
      <c r="E77" s="92"/>
      <c r="F77" s="200"/>
      <c r="G77" s="201"/>
      <c r="H77" s="92"/>
      <c r="I77" s="92"/>
      <c r="J77" s="121">
        <v>0</v>
      </c>
      <c r="K77" s="121">
        <v>296.3</v>
      </c>
      <c r="L77" s="121">
        <v>300</v>
      </c>
      <c r="M77" s="179">
        <v>297</v>
      </c>
      <c r="N77" s="121"/>
      <c r="O77" s="108"/>
      <c r="P77" s="108"/>
      <c r="Q77" s="108"/>
      <c r="R77" s="108"/>
      <c r="S77" s="208"/>
      <c r="T77" s="208"/>
      <c r="U77" s="208"/>
    </row>
    <row r="78" spans="1:21" s="58" customFormat="1" ht="12.75">
      <c r="A78" s="209">
        <v>312</v>
      </c>
      <c r="B78" s="89" t="s">
        <v>114</v>
      </c>
      <c r="C78" s="90" t="s">
        <v>173</v>
      </c>
      <c r="D78" s="200"/>
      <c r="E78" s="92"/>
      <c r="F78" s="200"/>
      <c r="G78" s="201"/>
      <c r="H78" s="92"/>
      <c r="I78" s="92"/>
      <c r="J78" s="121">
        <v>0</v>
      </c>
      <c r="K78" s="121">
        <v>2324.78</v>
      </c>
      <c r="L78" s="121">
        <v>3000</v>
      </c>
      <c r="M78" s="179">
        <v>5200</v>
      </c>
      <c r="N78" s="121"/>
      <c r="O78" s="108"/>
      <c r="P78" s="108"/>
      <c r="Q78" s="108"/>
      <c r="R78" s="108"/>
      <c r="S78" s="208"/>
      <c r="T78" s="208"/>
      <c r="U78" s="208"/>
    </row>
    <row r="79" spans="1:21" s="58" customFormat="1" ht="12.75">
      <c r="A79" s="88">
        <v>312</v>
      </c>
      <c r="B79" s="89" t="s">
        <v>114</v>
      </c>
      <c r="C79" s="90" t="s">
        <v>174</v>
      </c>
      <c r="D79" s="200"/>
      <c r="E79" s="92"/>
      <c r="F79" s="200"/>
      <c r="G79" s="201"/>
      <c r="H79" s="92"/>
      <c r="I79" s="92"/>
      <c r="J79" s="121">
        <v>0</v>
      </c>
      <c r="K79" s="121">
        <v>0</v>
      </c>
      <c r="L79" s="121">
        <v>0</v>
      </c>
      <c r="M79" s="179">
        <v>0</v>
      </c>
      <c r="N79" s="121"/>
      <c r="O79" s="108"/>
      <c r="P79" s="108"/>
      <c r="Q79" s="108"/>
      <c r="R79" s="108"/>
      <c r="S79" s="208"/>
      <c r="T79" s="208"/>
      <c r="U79" s="208"/>
    </row>
    <row r="80" spans="1:18" s="58" customFormat="1" ht="12.75">
      <c r="A80" s="88">
        <v>312</v>
      </c>
      <c r="B80" s="89" t="s">
        <v>114</v>
      </c>
      <c r="C80" s="90" t="s">
        <v>175</v>
      </c>
      <c r="D80" s="200"/>
      <c r="E80" s="92"/>
      <c r="F80" s="200"/>
      <c r="G80" s="201"/>
      <c r="H80" s="92"/>
      <c r="I80" s="92"/>
      <c r="J80" s="121">
        <v>14500</v>
      </c>
      <c r="K80" s="121">
        <v>8830.25</v>
      </c>
      <c r="L80" s="121">
        <v>14500</v>
      </c>
      <c r="M80" s="179">
        <v>13620</v>
      </c>
      <c r="N80" s="121">
        <v>0</v>
      </c>
      <c r="O80" s="108"/>
      <c r="P80" s="108"/>
      <c r="Q80" s="108"/>
      <c r="R80" s="108"/>
    </row>
    <row r="81" spans="1:19" s="58" customFormat="1" ht="12.75">
      <c r="A81" s="178">
        <v>312</v>
      </c>
      <c r="B81" s="143" t="s">
        <v>114</v>
      </c>
      <c r="C81" s="144" t="s">
        <v>75</v>
      </c>
      <c r="D81" s="200"/>
      <c r="E81" s="92"/>
      <c r="F81" s="200"/>
      <c r="G81" s="201"/>
      <c r="H81" s="92"/>
      <c r="I81" s="92"/>
      <c r="J81" s="105">
        <v>3000</v>
      </c>
      <c r="K81" s="105">
        <v>1427.6</v>
      </c>
      <c r="L81" s="105">
        <v>3000</v>
      </c>
      <c r="M81" s="107">
        <v>2623</v>
      </c>
      <c r="N81" s="105">
        <v>0</v>
      </c>
      <c r="O81" s="108"/>
      <c r="P81" s="108"/>
      <c r="Q81" s="108"/>
      <c r="R81" s="108"/>
      <c r="S81" s="210"/>
    </row>
    <row r="82" spans="1:19" s="58" customFormat="1" ht="12.75">
      <c r="A82" s="88">
        <v>312</v>
      </c>
      <c r="B82" s="89" t="s">
        <v>114</v>
      </c>
      <c r="C82" s="90" t="s">
        <v>176</v>
      </c>
      <c r="D82" s="160"/>
      <c r="E82" s="190"/>
      <c r="F82" s="160"/>
      <c r="G82" s="161"/>
      <c r="H82" s="190"/>
      <c r="I82" s="190"/>
      <c r="J82" s="121">
        <v>0</v>
      </c>
      <c r="K82" s="121">
        <v>8718.27</v>
      </c>
      <c r="L82" s="121">
        <v>15600</v>
      </c>
      <c r="M82" s="179">
        <v>15845</v>
      </c>
      <c r="N82" s="121">
        <v>0</v>
      </c>
      <c r="O82" s="108"/>
      <c r="P82" s="108"/>
      <c r="Q82" s="108"/>
      <c r="R82" s="108"/>
      <c r="S82" s="210"/>
    </row>
    <row r="83" spans="1:19" s="58" customFormat="1" ht="12.75">
      <c r="A83" s="178">
        <v>312</v>
      </c>
      <c r="B83" s="143" t="s">
        <v>114</v>
      </c>
      <c r="C83" s="144" t="s">
        <v>177</v>
      </c>
      <c r="D83" s="160"/>
      <c r="E83" s="190"/>
      <c r="F83" s="160"/>
      <c r="G83" s="161"/>
      <c r="H83" s="190"/>
      <c r="I83" s="190"/>
      <c r="J83" s="105">
        <v>60000</v>
      </c>
      <c r="K83" s="105">
        <v>18760</v>
      </c>
      <c r="L83" s="105">
        <v>60000</v>
      </c>
      <c r="M83" s="107">
        <v>55500</v>
      </c>
      <c r="N83" s="105">
        <v>0</v>
      </c>
      <c r="O83" s="108"/>
      <c r="P83" s="108"/>
      <c r="Q83" s="108"/>
      <c r="R83" s="108"/>
      <c r="S83" s="210"/>
    </row>
    <row r="84" spans="1:19" s="58" customFormat="1" ht="12.75">
      <c r="A84" s="178">
        <v>312</v>
      </c>
      <c r="B84" s="143" t="s">
        <v>114</v>
      </c>
      <c r="C84" s="144" t="s">
        <v>86</v>
      </c>
      <c r="D84" s="160"/>
      <c r="E84" s="190"/>
      <c r="F84" s="160"/>
      <c r="G84" s="161"/>
      <c r="H84" s="190"/>
      <c r="I84" s="190"/>
      <c r="J84" s="105">
        <v>10000</v>
      </c>
      <c r="K84" s="105">
        <v>6483.83</v>
      </c>
      <c r="L84" s="105">
        <v>10000</v>
      </c>
      <c r="M84" s="107">
        <v>8700</v>
      </c>
      <c r="N84" s="105">
        <v>0</v>
      </c>
      <c r="O84" s="108"/>
      <c r="P84" s="108"/>
      <c r="Q84" s="108"/>
      <c r="R84" s="108"/>
      <c r="S84" s="210"/>
    </row>
    <row r="85" spans="1:19" s="58" customFormat="1" ht="12.75">
      <c r="A85" s="88">
        <v>312</v>
      </c>
      <c r="B85" s="89" t="s">
        <v>114</v>
      </c>
      <c r="C85" s="89" t="s">
        <v>88</v>
      </c>
      <c r="D85" s="211"/>
      <c r="E85" s="212"/>
      <c r="F85" s="211"/>
      <c r="G85" s="213"/>
      <c r="H85" s="212"/>
      <c r="I85" s="212"/>
      <c r="J85" s="121">
        <v>14000</v>
      </c>
      <c r="K85" s="121">
        <v>9279.32</v>
      </c>
      <c r="L85" s="121">
        <v>14000</v>
      </c>
      <c r="M85" s="121">
        <v>18800</v>
      </c>
      <c r="N85" s="121"/>
      <c r="O85" s="108"/>
      <c r="P85" s="108"/>
      <c r="Q85" s="108"/>
      <c r="R85" s="108"/>
      <c r="S85" s="210"/>
    </row>
    <row r="86" spans="1:18" s="58" customFormat="1" ht="12.75">
      <c r="A86" s="209">
        <v>312</v>
      </c>
      <c r="B86" s="89" t="s">
        <v>114</v>
      </c>
      <c r="C86" s="90" t="s">
        <v>178</v>
      </c>
      <c r="D86" s="160"/>
      <c r="E86" s="190"/>
      <c r="F86" s="160"/>
      <c r="G86" s="161"/>
      <c r="H86" s="190"/>
      <c r="I86" s="190"/>
      <c r="J86" s="214"/>
      <c r="K86" s="121">
        <v>4438.78</v>
      </c>
      <c r="L86" s="121">
        <v>4500</v>
      </c>
      <c r="M86" s="215">
        <v>5706</v>
      </c>
      <c r="N86" s="92"/>
      <c r="O86" s="216"/>
      <c r="P86" s="216"/>
      <c r="Q86" s="216"/>
      <c r="R86" s="216"/>
    </row>
    <row r="87" spans="1:18" s="137" customFormat="1" ht="12.75">
      <c r="A87" s="217" t="s">
        <v>179</v>
      </c>
      <c r="B87" s="218"/>
      <c r="C87" s="219"/>
      <c r="D87" s="220"/>
      <c r="E87" s="221"/>
      <c r="F87" s="220"/>
      <c r="G87" s="220"/>
      <c r="H87" s="221"/>
      <c r="I87" s="221"/>
      <c r="J87" s="222">
        <f>J88+J89</f>
        <v>0</v>
      </c>
      <c r="K87" s="222">
        <f>K88+K89</f>
        <v>0</v>
      </c>
      <c r="L87" s="222">
        <f>L88+L89</f>
        <v>0</v>
      </c>
      <c r="M87" s="223">
        <f>SUM(M88,M89)</f>
        <v>0</v>
      </c>
      <c r="N87" s="224">
        <f>SUM(N88,N89)</f>
        <v>0</v>
      </c>
      <c r="O87" s="108"/>
      <c r="P87" s="108"/>
      <c r="Q87" s="108"/>
      <c r="R87" s="108"/>
    </row>
    <row r="88" spans="1:18" s="137" customFormat="1" ht="12.75">
      <c r="A88" s="88">
        <v>311</v>
      </c>
      <c r="B88" s="89"/>
      <c r="C88" s="102" t="s">
        <v>180</v>
      </c>
      <c r="D88" s="225"/>
      <c r="E88" s="225"/>
      <c r="F88" s="225"/>
      <c r="G88" s="226"/>
      <c r="H88" s="225"/>
      <c r="I88" s="227"/>
      <c r="J88" s="228">
        <v>0</v>
      </c>
      <c r="K88" s="228">
        <v>0</v>
      </c>
      <c r="L88" s="229">
        <v>0</v>
      </c>
      <c r="M88" s="225">
        <v>0</v>
      </c>
      <c r="N88" s="228">
        <v>0</v>
      </c>
      <c r="O88" s="230"/>
      <c r="P88" s="230"/>
      <c r="Q88" s="230"/>
      <c r="R88" s="230"/>
    </row>
    <row r="89" spans="1:19" s="58" customFormat="1" ht="12.75">
      <c r="A89" s="88">
        <v>311</v>
      </c>
      <c r="B89" s="89"/>
      <c r="C89" s="90" t="s">
        <v>181</v>
      </c>
      <c r="D89" s="92"/>
      <c r="E89" s="92"/>
      <c r="F89" s="92"/>
      <c r="G89" s="91"/>
      <c r="H89" s="92"/>
      <c r="I89" s="92"/>
      <c r="J89" s="121">
        <v>0</v>
      </c>
      <c r="K89" s="121">
        <v>0</v>
      </c>
      <c r="L89" s="121">
        <v>0</v>
      </c>
      <c r="M89" s="231">
        <v>0</v>
      </c>
      <c r="N89" s="121">
        <v>0</v>
      </c>
      <c r="O89" s="232"/>
      <c r="P89" s="108"/>
      <c r="Q89" s="108"/>
      <c r="R89" s="108"/>
      <c r="S89" s="210"/>
    </row>
    <row r="90" spans="1:18" s="58" customFormat="1" ht="12.75">
      <c r="A90" s="152"/>
      <c r="B90" s="152"/>
      <c r="C90" s="152"/>
      <c r="D90" s="190"/>
      <c r="E90" s="190"/>
      <c r="F90" s="190"/>
      <c r="G90" s="191"/>
      <c r="H90" s="190"/>
      <c r="I90" s="190"/>
      <c r="J90" s="121"/>
      <c r="K90" s="121"/>
      <c r="L90" s="214"/>
      <c r="M90" s="233"/>
      <c r="N90" s="214"/>
      <c r="O90" s="216"/>
      <c r="P90" s="216"/>
      <c r="Q90" s="216"/>
      <c r="R90" s="108"/>
    </row>
    <row r="91" spans="1:18" s="58" customFormat="1" ht="12.75">
      <c r="A91" s="1255" t="s">
        <v>182</v>
      </c>
      <c r="B91" s="1255"/>
      <c r="C91" s="1255"/>
      <c r="D91" s="186"/>
      <c r="E91" s="147"/>
      <c r="F91" s="186"/>
      <c r="G91" s="147"/>
      <c r="H91" s="186"/>
      <c r="I91" s="147"/>
      <c r="J91" s="234">
        <f>SUM(J64,J87)</f>
        <v>574950</v>
      </c>
      <c r="K91" s="234">
        <f>SUM(K64,K87)</f>
        <v>331183.97000000003</v>
      </c>
      <c r="L91" s="234">
        <f>L64+L87</f>
        <v>599350</v>
      </c>
      <c r="M91" s="235">
        <f>SUM(M64,M87)</f>
        <v>665897</v>
      </c>
      <c r="N91" s="234">
        <f>SUM(N64,N87)</f>
        <v>0</v>
      </c>
      <c r="O91" s="158"/>
      <c r="P91" s="158"/>
      <c r="Q91" s="158"/>
      <c r="R91" s="158"/>
    </row>
    <row r="92" spans="1:18" s="55" customFormat="1" ht="12.75">
      <c r="A92" s="236" t="s">
        <v>183</v>
      </c>
      <c r="B92" s="237"/>
      <c r="C92" s="238"/>
      <c r="D92" s="239"/>
      <c r="E92" s="239"/>
      <c r="F92" s="239"/>
      <c r="G92" s="239"/>
      <c r="H92" s="239"/>
      <c r="I92" s="240"/>
      <c r="J92" s="241">
        <f>SUM(J26,J91,J58)</f>
        <v>1518953</v>
      </c>
      <c r="K92" s="241">
        <f>SUM(K26,K91,K58)</f>
        <v>763702.13</v>
      </c>
      <c r="L92" s="242">
        <f>L26+L58+L91</f>
        <v>1543503</v>
      </c>
      <c r="M92" s="243">
        <f>SUM(M26,M58,M91)</f>
        <v>1614323</v>
      </c>
      <c r="N92" s="241">
        <f>SUM(N26,N58,N91)</f>
        <v>0</v>
      </c>
      <c r="O92" s="96"/>
      <c r="P92" s="96"/>
      <c r="Q92" s="96"/>
      <c r="R92" s="96"/>
    </row>
    <row r="93" ht="12.75" customHeight="1">
      <c r="K93" s="244"/>
    </row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/>
    <row r="100" ht="12.75" customHeight="1">
      <c r="C100" s="61" t="s">
        <v>89</v>
      </c>
    </row>
    <row r="101" spans="11:18" ht="12.75" customHeight="1">
      <c r="K101" s="1251" t="s">
        <v>130</v>
      </c>
      <c r="L101" s="1251"/>
      <c r="M101" s="1251"/>
      <c r="N101" s="1251"/>
      <c r="O101" s="64"/>
      <c r="P101" s="64"/>
      <c r="Q101" s="64"/>
      <c r="R101" s="64"/>
    </row>
    <row r="102" ht="12.75" customHeight="1"/>
    <row r="103" spans="1:18" s="58" customFormat="1" ht="51" customHeight="1">
      <c r="A103" s="68" t="s">
        <v>89</v>
      </c>
      <c r="B103" s="245"/>
      <c r="C103" s="246"/>
      <c r="D103" s="247" t="s">
        <v>184</v>
      </c>
      <c r="E103" s="248" t="s">
        <v>185</v>
      </c>
      <c r="F103" s="247" t="s">
        <v>184</v>
      </c>
      <c r="G103" s="248" t="s">
        <v>185</v>
      </c>
      <c r="H103" s="247" t="s">
        <v>184</v>
      </c>
      <c r="I103" s="248" t="s">
        <v>185</v>
      </c>
      <c r="J103" s="72">
        <v>2014</v>
      </c>
      <c r="K103" s="73" t="s">
        <v>108</v>
      </c>
      <c r="L103" s="74" t="s">
        <v>109</v>
      </c>
      <c r="M103" s="75" t="s">
        <v>110</v>
      </c>
      <c r="N103" s="73"/>
      <c r="O103" s="76"/>
      <c r="P103" s="76"/>
      <c r="Q103" s="76"/>
      <c r="R103" s="77"/>
    </row>
    <row r="104" spans="1:18" ht="12.75">
      <c r="A104" s="100">
        <v>231</v>
      </c>
      <c r="B104" s="101"/>
      <c r="C104" s="249" t="s">
        <v>186</v>
      </c>
      <c r="D104" s="228">
        <v>0</v>
      </c>
      <c r="E104" s="228"/>
      <c r="F104" s="228">
        <v>0</v>
      </c>
      <c r="G104" s="228"/>
      <c r="H104" s="228">
        <v>0</v>
      </c>
      <c r="I104" s="228"/>
      <c r="J104" s="228">
        <v>0</v>
      </c>
      <c r="K104" s="228">
        <v>0</v>
      </c>
      <c r="L104" s="228">
        <v>0</v>
      </c>
      <c r="M104" s="118">
        <v>0</v>
      </c>
      <c r="N104" s="228">
        <v>0</v>
      </c>
      <c r="O104" s="230"/>
      <c r="P104" s="230"/>
      <c r="Q104" s="230"/>
      <c r="R104" s="230"/>
    </row>
    <row r="105" spans="1:18" ht="12.75">
      <c r="A105" s="142">
        <v>233</v>
      </c>
      <c r="B105" s="180"/>
      <c r="C105" s="250" t="s">
        <v>187</v>
      </c>
      <c r="D105" s="228">
        <v>3000</v>
      </c>
      <c r="E105" s="228"/>
      <c r="F105" s="228">
        <v>3000</v>
      </c>
      <c r="G105" s="228"/>
      <c r="H105" s="228">
        <v>3000</v>
      </c>
      <c r="I105" s="228"/>
      <c r="J105" s="228">
        <v>10000</v>
      </c>
      <c r="K105" s="228">
        <v>1351</v>
      </c>
      <c r="L105" s="251">
        <v>1500</v>
      </c>
      <c r="M105" s="252">
        <v>1351</v>
      </c>
      <c r="N105" s="228">
        <v>0</v>
      </c>
      <c r="O105" s="230"/>
      <c r="P105" s="230"/>
      <c r="Q105" s="230"/>
      <c r="R105" s="230"/>
    </row>
    <row r="106" spans="1:18" ht="12.75">
      <c r="A106" s="1252" t="s">
        <v>158</v>
      </c>
      <c r="B106" s="1252"/>
      <c r="C106" s="1252"/>
      <c r="D106" s="253">
        <f>SUM(D104,D105)</f>
        <v>3000</v>
      </c>
      <c r="E106" s="253">
        <f>E104+E105</f>
        <v>0</v>
      </c>
      <c r="F106" s="253">
        <f>SUM(F104,F105)</f>
        <v>3000</v>
      </c>
      <c r="G106" s="253">
        <f>G104+G105</f>
        <v>0</v>
      </c>
      <c r="H106" s="253">
        <f>SUM(H104,H105)</f>
        <v>3000</v>
      </c>
      <c r="I106" s="253">
        <f>I104+I105</f>
        <v>0</v>
      </c>
      <c r="J106" s="253">
        <f>SUM(J104,J105)</f>
        <v>10000</v>
      </c>
      <c r="K106" s="253">
        <f>SUM(K104,K105)</f>
        <v>1351</v>
      </c>
      <c r="L106" s="253">
        <f>L104+L105</f>
        <v>1500</v>
      </c>
      <c r="M106" s="254">
        <f>SUM(M104:M105)</f>
        <v>1351</v>
      </c>
      <c r="N106" s="253">
        <v>0</v>
      </c>
      <c r="O106" s="255"/>
      <c r="P106" s="255"/>
      <c r="Q106" s="255"/>
      <c r="R106" s="255"/>
    </row>
    <row r="107" spans="1:11" ht="12.75">
      <c r="A107" s="123"/>
      <c r="B107" s="123"/>
      <c r="C107" s="256"/>
      <c r="D107" s="124"/>
      <c r="E107" s="124"/>
      <c r="F107" s="124"/>
      <c r="G107" s="126"/>
      <c r="H107" s="124"/>
      <c r="I107" s="124"/>
      <c r="J107" s="124"/>
      <c r="K107" s="154"/>
    </row>
    <row r="108" spans="1:18" ht="15.75">
      <c r="A108" s="123"/>
      <c r="B108" s="123"/>
      <c r="C108" s="256"/>
      <c r="D108" s="124"/>
      <c r="E108" s="124"/>
      <c r="F108" s="124"/>
      <c r="G108" s="126"/>
      <c r="H108" s="124"/>
      <c r="I108" s="124"/>
      <c r="J108" s="124"/>
      <c r="K108" s="1251" t="s">
        <v>159</v>
      </c>
      <c r="L108" s="1251"/>
      <c r="M108" s="1251"/>
      <c r="N108" s="1251"/>
      <c r="O108" s="64"/>
      <c r="P108" s="64"/>
      <c r="Q108" s="64"/>
      <c r="R108" s="64"/>
    </row>
    <row r="109" spans="1:11" ht="12.75">
      <c r="A109" s="123"/>
      <c r="B109" s="123"/>
      <c r="C109" s="256"/>
      <c r="D109" s="124"/>
      <c r="E109" s="124"/>
      <c r="F109" s="124"/>
      <c r="G109" s="126"/>
      <c r="H109" s="124"/>
      <c r="I109" s="124"/>
      <c r="J109" s="124"/>
      <c r="K109" s="154"/>
    </row>
    <row r="110" spans="1:18" ht="38.25">
      <c r="A110" s="68" t="s">
        <v>89</v>
      </c>
      <c r="B110" s="245"/>
      <c r="C110" s="246"/>
      <c r="D110" s="247" t="s">
        <v>184</v>
      </c>
      <c r="E110" s="248" t="s">
        <v>185</v>
      </c>
      <c r="F110" s="247" t="s">
        <v>184</v>
      </c>
      <c r="G110" s="248" t="s">
        <v>185</v>
      </c>
      <c r="H110" s="247" t="s">
        <v>184</v>
      </c>
      <c r="I110" s="248" t="s">
        <v>185</v>
      </c>
      <c r="J110" s="72">
        <v>2014</v>
      </c>
      <c r="K110" s="73" t="s">
        <v>108</v>
      </c>
      <c r="L110" s="74" t="s">
        <v>109</v>
      </c>
      <c r="M110" s="75" t="s">
        <v>110</v>
      </c>
      <c r="N110" s="73"/>
      <c r="O110" s="156"/>
      <c r="P110" s="156"/>
      <c r="Q110" s="156"/>
      <c r="R110" s="157"/>
    </row>
    <row r="111" spans="1:18" ht="12.75">
      <c r="A111" s="100">
        <v>322</v>
      </c>
      <c r="B111" s="101"/>
      <c r="C111" s="249" t="s">
        <v>188</v>
      </c>
      <c r="D111" s="228">
        <v>0</v>
      </c>
      <c r="E111" s="228">
        <v>0</v>
      </c>
      <c r="F111" s="228">
        <v>0</v>
      </c>
      <c r="G111" s="228">
        <v>0</v>
      </c>
      <c r="H111" s="228">
        <v>0</v>
      </c>
      <c r="I111" s="228">
        <v>0</v>
      </c>
      <c r="J111" s="228">
        <v>0</v>
      </c>
      <c r="K111" s="228">
        <v>0</v>
      </c>
      <c r="L111" s="228">
        <v>0</v>
      </c>
      <c r="M111" s="257">
        <v>0</v>
      </c>
      <c r="N111" s="228">
        <v>0</v>
      </c>
      <c r="O111" s="230"/>
      <c r="P111" s="230"/>
      <c r="Q111" s="230"/>
      <c r="R111" s="230"/>
    </row>
    <row r="112" spans="1:20" ht="12.75">
      <c r="A112" s="100">
        <v>322</v>
      </c>
      <c r="B112" s="101"/>
      <c r="C112" s="249" t="s">
        <v>189</v>
      </c>
      <c r="D112" s="228">
        <v>0</v>
      </c>
      <c r="E112" s="228">
        <v>0</v>
      </c>
      <c r="F112" s="228">
        <v>0</v>
      </c>
      <c r="G112" s="228">
        <v>0</v>
      </c>
      <c r="H112" s="228">
        <v>0</v>
      </c>
      <c r="I112" s="228">
        <v>0</v>
      </c>
      <c r="J112" s="229">
        <v>0</v>
      </c>
      <c r="K112" s="228">
        <v>0</v>
      </c>
      <c r="L112" s="229">
        <v>0</v>
      </c>
      <c r="M112" s="257">
        <v>0</v>
      </c>
      <c r="N112" s="228">
        <v>0</v>
      </c>
      <c r="O112" s="230"/>
      <c r="P112" s="230"/>
      <c r="Q112" s="230"/>
      <c r="R112" s="230"/>
      <c r="S112" s="258"/>
      <c r="T112" s="259"/>
    </row>
    <row r="113" spans="1:18" ht="12.75">
      <c r="A113" s="100">
        <v>322</v>
      </c>
      <c r="B113" s="101"/>
      <c r="C113" s="249" t="s">
        <v>95</v>
      </c>
      <c r="D113" s="228">
        <v>0</v>
      </c>
      <c r="E113" s="229">
        <v>0</v>
      </c>
      <c r="F113" s="228">
        <v>0</v>
      </c>
      <c r="G113" s="229">
        <v>0</v>
      </c>
      <c r="H113" s="228">
        <v>0</v>
      </c>
      <c r="I113" s="229">
        <v>0</v>
      </c>
      <c r="J113" s="260">
        <v>85000</v>
      </c>
      <c r="K113" s="228">
        <v>26960.33</v>
      </c>
      <c r="L113" s="261">
        <v>26960</v>
      </c>
      <c r="M113" s="257">
        <v>31005</v>
      </c>
      <c r="N113" s="229">
        <v>0</v>
      </c>
      <c r="O113" s="230"/>
      <c r="P113" s="230"/>
      <c r="Q113" s="230"/>
      <c r="R113" s="230"/>
    </row>
    <row r="114" spans="1:18" ht="12.75">
      <c r="A114" s="100">
        <v>322</v>
      </c>
      <c r="B114" s="101"/>
      <c r="C114" s="249" t="s">
        <v>190</v>
      </c>
      <c r="D114" s="228">
        <v>179660.04</v>
      </c>
      <c r="E114" s="228">
        <v>179660.04</v>
      </c>
      <c r="F114" s="228">
        <v>179660.04</v>
      </c>
      <c r="G114" s="228">
        <v>179660.04</v>
      </c>
      <c r="H114" s="228">
        <v>179660.04</v>
      </c>
      <c r="I114" s="228">
        <v>179660.04</v>
      </c>
      <c r="J114" s="228">
        <v>0</v>
      </c>
      <c r="K114" s="228">
        <v>0</v>
      </c>
      <c r="L114" s="228">
        <v>0</v>
      </c>
      <c r="M114" s="257">
        <v>0</v>
      </c>
      <c r="N114" s="228">
        <v>0</v>
      </c>
      <c r="O114" s="230"/>
      <c r="P114" s="230"/>
      <c r="Q114" s="230"/>
      <c r="R114" s="230"/>
    </row>
    <row r="115" spans="1:18" ht="12.75">
      <c r="A115" s="100">
        <v>332</v>
      </c>
      <c r="B115" s="101"/>
      <c r="C115" s="249" t="s">
        <v>191</v>
      </c>
      <c r="D115" s="228">
        <v>200000</v>
      </c>
      <c r="E115" s="229">
        <v>119317.84</v>
      </c>
      <c r="F115" s="228">
        <v>200000</v>
      </c>
      <c r="G115" s="229">
        <v>119317.84</v>
      </c>
      <c r="H115" s="228">
        <v>200000</v>
      </c>
      <c r="I115" s="229">
        <v>119317.84</v>
      </c>
      <c r="J115" s="229">
        <v>0</v>
      </c>
      <c r="K115" s="228">
        <v>0</v>
      </c>
      <c r="L115" s="229">
        <v>0</v>
      </c>
      <c r="M115" s="257">
        <v>0</v>
      </c>
      <c r="N115" s="228">
        <v>0</v>
      </c>
      <c r="O115" s="230"/>
      <c r="P115" s="230"/>
      <c r="Q115" s="230"/>
      <c r="R115" s="230"/>
    </row>
    <row r="116" spans="1:18" ht="12.75">
      <c r="A116" s="100">
        <v>332</v>
      </c>
      <c r="B116" s="101"/>
      <c r="C116" s="102" t="s">
        <v>192</v>
      </c>
      <c r="D116" s="228">
        <v>34114.85</v>
      </c>
      <c r="E116" s="260">
        <v>34114.85</v>
      </c>
      <c r="F116" s="228">
        <v>34114.85</v>
      </c>
      <c r="G116" s="260">
        <v>34114.85</v>
      </c>
      <c r="H116" s="228">
        <v>34114.85</v>
      </c>
      <c r="I116" s="260">
        <v>34114.85</v>
      </c>
      <c r="J116" s="262">
        <v>0</v>
      </c>
      <c r="K116" s="228">
        <v>0</v>
      </c>
      <c r="L116" s="262">
        <v>0</v>
      </c>
      <c r="M116" s="118">
        <v>0</v>
      </c>
      <c r="N116" s="229">
        <v>0</v>
      </c>
      <c r="O116" s="230"/>
      <c r="P116" s="230"/>
      <c r="Q116" s="230"/>
      <c r="R116" s="230"/>
    </row>
    <row r="117" spans="1:18" ht="12.75">
      <c r="A117" s="100">
        <v>322</v>
      </c>
      <c r="B117" s="101"/>
      <c r="C117" s="102" t="s">
        <v>193</v>
      </c>
      <c r="D117" s="228">
        <v>5000</v>
      </c>
      <c r="E117" s="228">
        <v>5000</v>
      </c>
      <c r="F117" s="228">
        <v>5000</v>
      </c>
      <c r="G117" s="228">
        <v>5000</v>
      </c>
      <c r="H117" s="228">
        <v>5000</v>
      </c>
      <c r="I117" s="228">
        <v>5000</v>
      </c>
      <c r="J117" s="229">
        <v>3000</v>
      </c>
      <c r="K117" s="228">
        <v>0</v>
      </c>
      <c r="L117" s="251">
        <v>0</v>
      </c>
      <c r="M117" s="227">
        <v>0</v>
      </c>
      <c r="N117" s="228">
        <v>0</v>
      </c>
      <c r="O117" s="230"/>
      <c r="P117" s="230"/>
      <c r="Q117" s="230"/>
      <c r="R117" s="230"/>
    </row>
    <row r="118" spans="1:18" ht="12.75">
      <c r="A118" s="100">
        <v>332</v>
      </c>
      <c r="B118" s="101"/>
      <c r="C118" s="102" t="s">
        <v>194</v>
      </c>
      <c r="D118" s="228">
        <v>0</v>
      </c>
      <c r="E118" s="228"/>
      <c r="F118" s="228">
        <v>0</v>
      </c>
      <c r="G118" s="228"/>
      <c r="H118" s="228">
        <v>0</v>
      </c>
      <c r="I118" s="228"/>
      <c r="J118" s="229">
        <v>450000</v>
      </c>
      <c r="K118" s="228">
        <v>5643</v>
      </c>
      <c r="L118" s="251">
        <v>250000</v>
      </c>
      <c r="M118" s="227">
        <v>250000</v>
      </c>
      <c r="N118" s="228">
        <v>0</v>
      </c>
      <c r="O118" s="230"/>
      <c r="P118" s="230"/>
      <c r="Q118" s="230"/>
      <c r="R118" s="230"/>
    </row>
    <row r="119" spans="1:18" ht="12.75">
      <c r="A119" s="100">
        <v>332</v>
      </c>
      <c r="B119" s="101"/>
      <c r="C119" s="102" t="s">
        <v>195</v>
      </c>
      <c r="D119" s="228">
        <v>49875</v>
      </c>
      <c r="E119" s="228"/>
      <c r="F119" s="228">
        <v>49875</v>
      </c>
      <c r="G119" s="228"/>
      <c r="H119" s="228">
        <v>49875</v>
      </c>
      <c r="I119" s="228"/>
      <c r="J119" s="229">
        <v>0</v>
      </c>
      <c r="K119" s="228">
        <v>0</v>
      </c>
      <c r="L119" s="229">
        <v>0</v>
      </c>
      <c r="M119" s="227">
        <v>0</v>
      </c>
      <c r="N119" s="228">
        <v>0</v>
      </c>
      <c r="O119" s="230"/>
      <c r="P119" s="230"/>
      <c r="Q119" s="230"/>
      <c r="R119" s="230"/>
    </row>
    <row r="120" spans="1:18" ht="12.75">
      <c r="A120" s="100">
        <v>332</v>
      </c>
      <c r="B120" s="101"/>
      <c r="C120" s="102" t="s">
        <v>196</v>
      </c>
      <c r="D120" s="228">
        <v>0</v>
      </c>
      <c r="E120" s="229"/>
      <c r="F120" s="228">
        <v>0</v>
      </c>
      <c r="G120" s="229"/>
      <c r="H120" s="228">
        <v>0</v>
      </c>
      <c r="I120" s="229"/>
      <c r="J120" s="229">
        <v>190000</v>
      </c>
      <c r="K120" s="228">
        <v>0</v>
      </c>
      <c r="L120" s="229">
        <v>190000</v>
      </c>
      <c r="M120" s="263">
        <v>0</v>
      </c>
      <c r="N120" s="228">
        <v>0</v>
      </c>
      <c r="O120" s="230"/>
      <c r="P120" s="230"/>
      <c r="Q120" s="230"/>
      <c r="R120" s="230"/>
    </row>
    <row r="121" spans="1:18" ht="12.75">
      <c r="A121" s="100">
        <v>239</v>
      </c>
      <c r="B121" s="101" t="s">
        <v>117</v>
      </c>
      <c r="C121" s="102" t="s">
        <v>197</v>
      </c>
      <c r="D121" s="228"/>
      <c r="E121" s="260"/>
      <c r="F121" s="228"/>
      <c r="G121" s="260"/>
      <c r="H121" s="228"/>
      <c r="I121" s="260"/>
      <c r="J121" s="260">
        <v>0</v>
      </c>
      <c r="K121" s="228">
        <v>0</v>
      </c>
      <c r="L121" s="264">
        <v>0</v>
      </c>
      <c r="M121" s="265"/>
      <c r="N121" s="228"/>
      <c r="O121" s="230"/>
      <c r="P121" s="230"/>
      <c r="Q121" s="230"/>
      <c r="R121" s="230"/>
    </row>
    <row r="122" spans="1:18" ht="12.75">
      <c r="A122" s="1253" t="s">
        <v>182</v>
      </c>
      <c r="B122" s="1253"/>
      <c r="C122" s="1253"/>
      <c r="D122" s="266">
        <f>D114+D115+D116+D117+D119</f>
        <v>468649.89</v>
      </c>
      <c r="E122" s="266">
        <f>SUM(E111:E121)</f>
        <v>338092.73</v>
      </c>
      <c r="F122" s="266">
        <f>F114+F115+F116+F117+F119</f>
        <v>468649.89</v>
      </c>
      <c r="G122" s="266">
        <f>SUM(G111:G121)</f>
        <v>338092.73</v>
      </c>
      <c r="H122" s="266">
        <f>H114+H115+H116+H117+H119</f>
        <v>468649.89</v>
      </c>
      <c r="I122" s="266">
        <f>SUM(I111:I121)</f>
        <v>338092.73</v>
      </c>
      <c r="J122" s="266">
        <f>J114+J115+J116+J117+J119+J112+J113+J118+J120</f>
        <v>728000</v>
      </c>
      <c r="K122" s="266">
        <f>K114+K115+K116+K117+K119+K120+K121+K113+K118</f>
        <v>32603.33</v>
      </c>
      <c r="L122" s="266">
        <f>L111+L112+L113+L114+L115+L116+L117+L118+L119+L120+L121</f>
        <v>466960</v>
      </c>
      <c r="M122" s="235">
        <f>SUM(M111,M112,M113,M114,M115,M116,M117,M118,M119,M120)</f>
        <v>281005</v>
      </c>
      <c r="N122" s="266">
        <v>0</v>
      </c>
      <c r="O122" s="255"/>
      <c r="P122" s="255"/>
      <c r="Q122" s="255"/>
      <c r="R122" s="255"/>
    </row>
    <row r="123" spans="1:18" ht="12.75">
      <c r="A123" s="236" t="s">
        <v>198</v>
      </c>
      <c r="B123" s="267"/>
      <c r="C123" s="238"/>
      <c r="D123" s="268">
        <f>SUM(D106,D122)</f>
        <v>471649.89</v>
      </c>
      <c r="E123" s="268">
        <f>E122+E106</f>
        <v>338092.73</v>
      </c>
      <c r="F123" s="268">
        <f>SUM(F106,F122)</f>
        <v>471649.89</v>
      </c>
      <c r="G123" s="268">
        <f>G122+G106</f>
        <v>338092.73</v>
      </c>
      <c r="H123" s="268">
        <f>SUM(H106,H122)</f>
        <v>471649.89</v>
      </c>
      <c r="I123" s="268">
        <f>I122+I106</f>
        <v>338092.73</v>
      </c>
      <c r="J123" s="268">
        <f>SUM(J106,J122)</f>
        <v>738000</v>
      </c>
      <c r="K123" s="268">
        <f>SUM(K106,K122)</f>
        <v>33954.33</v>
      </c>
      <c r="L123" s="268">
        <f>L106+L122</f>
        <v>468460</v>
      </c>
      <c r="M123" s="243">
        <f>SUM(M106,M122)</f>
        <v>282356</v>
      </c>
      <c r="N123" s="268">
        <v>0</v>
      </c>
      <c r="O123" s="269"/>
      <c r="P123" s="269"/>
      <c r="Q123" s="269"/>
      <c r="R123" s="269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4" ht="15.75">
      <c r="C134" s="61" t="s">
        <v>101</v>
      </c>
    </row>
    <row r="135" ht="15.75">
      <c r="C135" s="270"/>
    </row>
    <row r="136" spans="3:18" ht="15.75">
      <c r="C136" s="270"/>
      <c r="H136" s="271" t="s">
        <v>199</v>
      </c>
      <c r="I136" s="271"/>
      <c r="J136" s="271"/>
      <c r="K136" s="1249" t="s">
        <v>199</v>
      </c>
      <c r="L136" s="1249"/>
      <c r="M136" s="1249"/>
      <c r="N136" s="1249"/>
      <c r="O136" s="272"/>
      <c r="P136" s="272"/>
      <c r="Q136" s="272"/>
      <c r="R136" s="272"/>
    </row>
    <row r="138" spans="1:18" ht="51" customHeight="1">
      <c r="A138" s="68" t="s">
        <v>101</v>
      </c>
      <c r="B138" s="245"/>
      <c r="C138" s="246"/>
      <c r="D138" s="247" t="s">
        <v>184</v>
      </c>
      <c r="E138" s="248" t="s">
        <v>185</v>
      </c>
      <c r="F138" s="247" t="s">
        <v>184</v>
      </c>
      <c r="G138" s="248" t="s">
        <v>185</v>
      </c>
      <c r="H138" s="247" t="s">
        <v>184</v>
      </c>
      <c r="I138" s="248" t="s">
        <v>185</v>
      </c>
      <c r="J138" s="72">
        <v>2014</v>
      </c>
      <c r="K138" s="73" t="s">
        <v>108</v>
      </c>
      <c r="L138" s="74" t="s">
        <v>109</v>
      </c>
      <c r="M138" s="75" t="s">
        <v>110</v>
      </c>
      <c r="N138" s="73"/>
      <c r="O138" s="156"/>
      <c r="P138" s="156"/>
      <c r="Q138" s="156"/>
      <c r="R138" s="157"/>
    </row>
    <row r="139" spans="1:18" ht="12.75">
      <c r="A139" s="100">
        <v>453</v>
      </c>
      <c r="B139" s="101"/>
      <c r="C139" s="102" t="s">
        <v>200</v>
      </c>
      <c r="D139" s="229"/>
      <c r="E139" s="273"/>
      <c r="F139" s="229"/>
      <c r="G139" s="273"/>
      <c r="H139" s="229"/>
      <c r="I139" s="273"/>
      <c r="J139" s="229"/>
      <c r="K139" s="229"/>
      <c r="L139" s="229">
        <v>0</v>
      </c>
      <c r="M139" s="118">
        <v>0</v>
      </c>
      <c r="N139" s="229">
        <v>0</v>
      </c>
      <c r="O139" s="230"/>
      <c r="P139" s="230"/>
      <c r="Q139" s="230"/>
      <c r="R139" s="230"/>
    </row>
    <row r="140" spans="1:18" ht="12.75">
      <c r="A140" s="100">
        <v>454</v>
      </c>
      <c r="B140" s="101" t="s">
        <v>114</v>
      </c>
      <c r="C140" s="102" t="s">
        <v>201</v>
      </c>
      <c r="D140" s="229"/>
      <c r="E140" s="274"/>
      <c r="F140" s="229"/>
      <c r="G140" s="274"/>
      <c r="H140" s="229"/>
      <c r="I140" s="274"/>
      <c r="J140" s="229"/>
      <c r="K140" s="229"/>
      <c r="L140" s="262">
        <v>0</v>
      </c>
      <c r="M140" s="118">
        <v>0</v>
      </c>
      <c r="N140" s="262">
        <v>0</v>
      </c>
      <c r="O140" s="230"/>
      <c r="P140" s="230"/>
      <c r="Q140" s="230"/>
      <c r="R140" s="230"/>
    </row>
    <row r="141" spans="1:18" ht="12.75">
      <c r="A141" s="142">
        <v>454</v>
      </c>
      <c r="B141" s="180" t="s">
        <v>117</v>
      </c>
      <c r="C141" s="275" t="s">
        <v>202</v>
      </c>
      <c r="D141" s="229"/>
      <c r="E141" s="276"/>
      <c r="F141" s="229"/>
      <c r="G141" s="276"/>
      <c r="H141" s="229"/>
      <c r="I141" s="276"/>
      <c r="J141" s="229"/>
      <c r="K141" s="229"/>
      <c r="L141" s="260">
        <v>0</v>
      </c>
      <c r="M141" s="146">
        <v>0</v>
      </c>
      <c r="N141" s="260">
        <v>0</v>
      </c>
      <c r="O141" s="230"/>
      <c r="P141" s="230"/>
      <c r="Q141" s="230"/>
      <c r="R141" s="230"/>
    </row>
    <row r="142" spans="1:18" ht="12.75">
      <c r="A142" s="277" t="s">
        <v>203</v>
      </c>
      <c r="B142" s="278"/>
      <c r="C142" s="279"/>
      <c r="D142" s="253">
        <f>SUM(D139,D140,D141)</f>
        <v>0</v>
      </c>
      <c r="E142" s="280"/>
      <c r="F142" s="253">
        <f>SUM(F139,F140,F141)</f>
        <v>0</v>
      </c>
      <c r="G142" s="280"/>
      <c r="H142" s="253">
        <f>SUM(H139,H140,H141)</f>
        <v>0</v>
      </c>
      <c r="I142" s="280"/>
      <c r="J142" s="253">
        <f>SUM(J139,J140,J141)</f>
        <v>0</v>
      </c>
      <c r="K142" s="253">
        <f>SUM(K139,K140,K141)</f>
        <v>0</v>
      </c>
      <c r="L142" s="253">
        <f>L139+L140+L141</f>
        <v>0</v>
      </c>
      <c r="M142" s="254">
        <f>SUM(M139,M140,M141)</f>
        <v>0</v>
      </c>
      <c r="N142" s="253">
        <f>SUM(N139,N140,N141)</f>
        <v>0</v>
      </c>
      <c r="O142" s="255"/>
      <c r="P142" s="255"/>
      <c r="Q142" s="255"/>
      <c r="R142" s="255"/>
    </row>
    <row r="143" spans="1:11" ht="12.75">
      <c r="A143" s="123"/>
      <c r="B143" s="123"/>
      <c r="C143" s="123"/>
      <c r="D143" s="256"/>
      <c r="E143" s="256"/>
      <c r="F143" s="256"/>
      <c r="G143" s="281"/>
      <c r="H143" s="256"/>
      <c r="I143" s="256"/>
      <c r="J143" s="256"/>
      <c r="K143" s="154"/>
    </row>
    <row r="144" spans="1:18" ht="12.75">
      <c r="A144" s="123"/>
      <c r="B144" s="123"/>
      <c r="C144" s="123"/>
      <c r="D144" s="1250" t="s">
        <v>204</v>
      </c>
      <c r="E144" s="1250"/>
      <c r="F144" s="1250"/>
      <c r="G144" s="1250"/>
      <c r="H144" s="1250"/>
      <c r="I144" s="1250"/>
      <c r="J144" s="1250"/>
      <c r="K144" s="1250"/>
      <c r="L144" s="1250"/>
      <c r="M144" s="1250"/>
      <c r="N144" s="1250"/>
      <c r="O144" s="282"/>
      <c r="P144" s="282"/>
      <c r="Q144" s="282"/>
      <c r="R144" s="283"/>
    </row>
    <row r="145" spans="1:11" ht="12.75">
      <c r="A145" s="123"/>
      <c r="B145" s="123"/>
      <c r="C145" s="123"/>
      <c r="D145" s="256"/>
      <c r="E145" s="256"/>
      <c r="F145" s="256"/>
      <c r="G145" s="281"/>
      <c r="H145" s="256"/>
      <c r="I145" s="256"/>
      <c r="J145" s="256"/>
      <c r="K145" s="154"/>
    </row>
    <row r="146" spans="1:18" ht="38.25">
      <c r="A146" s="68" t="s">
        <v>101</v>
      </c>
      <c r="B146" s="245"/>
      <c r="C146" s="246"/>
      <c r="D146" s="247" t="s">
        <v>184</v>
      </c>
      <c r="E146" s="248" t="s">
        <v>185</v>
      </c>
      <c r="F146" s="247" t="s">
        <v>184</v>
      </c>
      <c r="G146" s="248" t="s">
        <v>185</v>
      </c>
      <c r="H146" s="247" t="s">
        <v>184</v>
      </c>
      <c r="I146" s="248" t="s">
        <v>185</v>
      </c>
      <c r="J146" s="72">
        <v>2014</v>
      </c>
      <c r="K146" s="73" t="s">
        <v>108</v>
      </c>
      <c r="L146" s="74" t="s">
        <v>109</v>
      </c>
      <c r="M146" s="75" t="s">
        <v>110</v>
      </c>
      <c r="N146" s="73"/>
      <c r="O146" s="156"/>
      <c r="P146" s="156"/>
      <c r="Q146" s="156"/>
      <c r="R146" s="157"/>
    </row>
    <row r="147" spans="1:18" ht="12.75">
      <c r="A147" s="100">
        <v>513</v>
      </c>
      <c r="B147" s="101" t="s">
        <v>117</v>
      </c>
      <c r="C147" s="102" t="s">
        <v>102</v>
      </c>
      <c r="D147" s="229">
        <v>310000</v>
      </c>
      <c r="E147" s="284">
        <v>240110.47</v>
      </c>
      <c r="F147" s="229">
        <v>310000</v>
      </c>
      <c r="G147" s="284">
        <v>240110.47</v>
      </c>
      <c r="H147" s="229">
        <v>310000</v>
      </c>
      <c r="I147" s="284">
        <v>240110.47</v>
      </c>
      <c r="J147" s="229">
        <v>0</v>
      </c>
      <c r="K147" s="229">
        <v>0</v>
      </c>
      <c r="L147" s="260">
        <v>0</v>
      </c>
      <c r="M147" s="118">
        <v>0</v>
      </c>
      <c r="N147" s="284">
        <v>0</v>
      </c>
      <c r="O147" s="230"/>
      <c r="P147" s="230"/>
      <c r="Q147" s="230"/>
      <c r="R147" s="230"/>
    </row>
    <row r="148" spans="1:18" ht="12.75">
      <c r="A148" s="142">
        <v>514</v>
      </c>
      <c r="B148" s="180" t="s">
        <v>117</v>
      </c>
      <c r="C148" s="275" t="s">
        <v>205</v>
      </c>
      <c r="D148" s="260"/>
      <c r="E148" s="285">
        <v>0</v>
      </c>
      <c r="F148" s="260"/>
      <c r="G148" s="285">
        <v>0</v>
      </c>
      <c r="H148" s="260"/>
      <c r="I148" s="285">
        <v>0</v>
      </c>
      <c r="J148" s="260">
        <v>0</v>
      </c>
      <c r="K148" s="260"/>
      <c r="L148" s="229">
        <v>0</v>
      </c>
      <c r="M148" s="286">
        <v>0</v>
      </c>
      <c r="N148" s="260">
        <v>0</v>
      </c>
      <c r="O148" s="230"/>
      <c r="P148" s="230"/>
      <c r="Q148" s="230"/>
      <c r="R148" s="230"/>
    </row>
    <row r="149" spans="1:18" ht="12.75">
      <c r="A149" s="277" t="s">
        <v>206</v>
      </c>
      <c r="B149" s="278"/>
      <c r="C149" s="279"/>
      <c r="D149" s="266">
        <f>SUM(D147,D148)</f>
        <v>310000</v>
      </c>
      <c r="E149" s="266">
        <f>E147+E148</f>
        <v>240110.47</v>
      </c>
      <c r="F149" s="266">
        <f>SUM(F147,F148)</f>
        <v>310000</v>
      </c>
      <c r="G149" s="266">
        <f>G147+G148</f>
        <v>240110.47</v>
      </c>
      <c r="H149" s="266">
        <f>SUM(H147,H148)</f>
        <v>310000</v>
      </c>
      <c r="I149" s="266">
        <f>I147+I148</f>
        <v>240110.47</v>
      </c>
      <c r="J149" s="266">
        <f>SUM(J147,J148)</f>
        <v>0</v>
      </c>
      <c r="K149" s="266">
        <f>SUM(K147,K148)</f>
        <v>0</v>
      </c>
      <c r="L149" s="266">
        <f>L147+L148</f>
        <v>0</v>
      </c>
      <c r="M149" s="254">
        <v>0</v>
      </c>
      <c r="N149" s="266">
        <v>0</v>
      </c>
      <c r="O149" s="255"/>
      <c r="P149" s="255"/>
      <c r="Q149" s="255"/>
      <c r="R149" s="255"/>
    </row>
    <row r="150" spans="1:18" ht="12.75">
      <c r="A150" s="236" t="s">
        <v>101</v>
      </c>
      <c r="B150" s="267"/>
      <c r="C150" s="238"/>
      <c r="D150" s="268">
        <f>SUM(D142,D149)</f>
        <v>310000</v>
      </c>
      <c r="E150" s="268">
        <f>E142+E149</f>
        <v>240110.47</v>
      </c>
      <c r="F150" s="268">
        <f>SUM(F142,F149)</f>
        <v>310000</v>
      </c>
      <c r="G150" s="268">
        <f>G142+G149</f>
        <v>240110.47</v>
      </c>
      <c r="H150" s="268">
        <f>SUM(H142,H149)</f>
        <v>310000</v>
      </c>
      <c r="I150" s="268">
        <f>I142+I149</f>
        <v>240110.47</v>
      </c>
      <c r="J150" s="268">
        <f>SUM(J142,J149)</f>
        <v>0</v>
      </c>
      <c r="K150" s="268">
        <f>SUM(K142,K149)</f>
        <v>0</v>
      </c>
      <c r="L150" s="268">
        <f>L142+L149</f>
        <v>0</v>
      </c>
      <c r="M150" s="243">
        <f>SUM(M142,M149)</f>
        <v>0</v>
      </c>
      <c r="N150" s="268">
        <v>0</v>
      </c>
      <c r="O150" s="269"/>
      <c r="P150" s="269"/>
      <c r="Q150" s="269"/>
      <c r="R150" s="269"/>
    </row>
    <row r="151" spans="1:14" ht="12.75">
      <c r="A151" s="282"/>
      <c r="B151" s="58"/>
      <c r="C151" s="282"/>
      <c r="D151" s="282"/>
      <c r="E151" s="287"/>
      <c r="F151" s="282"/>
      <c r="G151" s="282"/>
      <c r="H151" s="287"/>
      <c r="I151" s="287"/>
      <c r="J151" s="287"/>
      <c r="K151" s="288"/>
      <c r="L151" s="58"/>
      <c r="M151" s="58"/>
      <c r="N151" s="208"/>
    </row>
    <row r="152" spans="1:14" ht="12.75">
      <c r="A152" s="282"/>
      <c r="B152" s="58"/>
      <c r="C152" s="282"/>
      <c r="D152" s="282"/>
      <c r="E152" s="287"/>
      <c r="F152" s="282"/>
      <c r="G152" s="282"/>
      <c r="H152" s="287"/>
      <c r="I152" s="287"/>
      <c r="J152" s="287"/>
      <c r="K152" s="288"/>
      <c r="L152" s="58"/>
      <c r="M152" s="58"/>
      <c r="N152" s="208"/>
    </row>
    <row r="153" spans="1:14" ht="12.75">
      <c r="A153" s="282"/>
      <c r="B153" s="58"/>
      <c r="C153" s="282"/>
      <c r="D153" s="282"/>
      <c r="E153" s="287"/>
      <c r="F153" s="282"/>
      <c r="G153" s="282"/>
      <c r="H153" s="287"/>
      <c r="I153" s="287"/>
      <c r="J153" s="287"/>
      <c r="K153" s="288"/>
      <c r="L153" s="58"/>
      <c r="M153" s="58"/>
      <c r="N153" s="208"/>
    </row>
    <row r="154" spans="1:11" ht="12.75">
      <c r="A154" s="123"/>
      <c r="B154" s="123"/>
      <c r="C154" s="123"/>
      <c r="D154" s="123"/>
      <c r="E154" s="123"/>
      <c r="F154" s="123"/>
      <c r="G154" s="289"/>
      <c r="H154" s="123"/>
      <c r="I154" s="123"/>
      <c r="J154" s="123"/>
      <c r="K154" s="154"/>
    </row>
    <row r="155" spans="1:12" ht="15.75">
      <c r="A155" s="123"/>
      <c r="B155" s="123"/>
      <c r="C155" s="61" t="s">
        <v>207</v>
      </c>
      <c r="D155" s="290"/>
      <c r="E155" s="123"/>
      <c r="F155" s="123"/>
      <c r="G155" s="289"/>
      <c r="H155" s="123"/>
      <c r="I155" s="123"/>
      <c r="J155" s="290"/>
      <c r="K155" s="291"/>
      <c r="L155" s="292"/>
    </row>
    <row r="156" spans="1:11" ht="12.75">
      <c r="A156" s="123"/>
      <c r="B156" s="123"/>
      <c r="C156" s="123"/>
      <c r="D156" s="123"/>
      <c r="E156" s="123"/>
      <c r="F156" s="123"/>
      <c r="G156" s="289"/>
      <c r="H156" s="123"/>
      <c r="I156" s="123"/>
      <c r="J156" s="123"/>
      <c r="K156" s="154"/>
    </row>
    <row r="157" spans="1:18" ht="38.25">
      <c r="A157" s="68"/>
      <c r="B157" s="245"/>
      <c r="C157" s="246"/>
      <c r="D157" s="247" t="s">
        <v>184</v>
      </c>
      <c r="E157" s="248" t="s">
        <v>185</v>
      </c>
      <c r="F157" s="247" t="s">
        <v>184</v>
      </c>
      <c r="G157" s="248" t="s">
        <v>185</v>
      </c>
      <c r="H157" s="247" t="s">
        <v>184</v>
      </c>
      <c r="I157" s="248" t="s">
        <v>185</v>
      </c>
      <c r="J157" s="72">
        <v>2014</v>
      </c>
      <c r="K157" s="73" t="s">
        <v>108</v>
      </c>
      <c r="L157" s="74" t="s">
        <v>109</v>
      </c>
      <c r="M157" s="75" t="s">
        <v>110</v>
      </c>
      <c r="N157" s="73"/>
      <c r="O157" s="156"/>
      <c r="P157" s="156"/>
      <c r="Q157" s="156"/>
      <c r="R157" s="157"/>
    </row>
    <row r="158" spans="1:18" ht="12.75">
      <c r="A158" s="1248" t="s">
        <v>208</v>
      </c>
      <c r="B158" s="1248"/>
      <c r="C158" s="1248"/>
      <c r="D158" s="228"/>
      <c r="E158" s="293"/>
      <c r="F158" s="228"/>
      <c r="G158" s="293"/>
      <c r="H158" s="228"/>
      <c r="I158" s="293"/>
      <c r="J158" s="228">
        <v>0</v>
      </c>
      <c r="K158" s="228">
        <v>0</v>
      </c>
      <c r="L158" s="228">
        <v>0</v>
      </c>
      <c r="M158" s="257">
        <v>0</v>
      </c>
      <c r="N158" s="228">
        <v>0</v>
      </c>
      <c r="O158" s="230"/>
      <c r="P158" s="230"/>
      <c r="Q158" s="230"/>
      <c r="R158" s="230"/>
    </row>
    <row r="159" spans="1:18" ht="12.75">
      <c r="A159" s="1248" t="s">
        <v>209</v>
      </c>
      <c r="B159" s="1248"/>
      <c r="C159" s="1248"/>
      <c r="D159" s="228"/>
      <c r="E159" s="293"/>
      <c r="F159" s="228"/>
      <c r="G159" s="293"/>
      <c r="H159" s="228"/>
      <c r="I159" s="293"/>
      <c r="J159" s="228">
        <v>0</v>
      </c>
      <c r="K159" s="228">
        <v>0</v>
      </c>
      <c r="L159" s="229">
        <v>0</v>
      </c>
      <c r="M159" s="257">
        <v>0</v>
      </c>
      <c r="N159" s="228">
        <v>0</v>
      </c>
      <c r="O159" s="230"/>
      <c r="P159" s="230"/>
      <c r="Q159" s="230"/>
      <c r="R159" s="230"/>
    </row>
    <row r="160" spans="1:18" ht="12.75">
      <c r="A160" s="1248" t="s">
        <v>210</v>
      </c>
      <c r="B160" s="1248"/>
      <c r="C160" s="1248"/>
      <c r="D160" s="228"/>
      <c r="E160" s="293"/>
      <c r="F160" s="228"/>
      <c r="G160" s="293"/>
      <c r="H160" s="228"/>
      <c r="I160" s="293"/>
      <c r="J160" s="228">
        <v>0</v>
      </c>
      <c r="K160" s="228">
        <v>0</v>
      </c>
      <c r="L160" s="229">
        <v>0</v>
      </c>
      <c r="M160" s="257">
        <v>0</v>
      </c>
      <c r="N160" s="228">
        <v>0</v>
      </c>
      <c r="O160" s="230"/>
      <c r="P160" s="230"/>
      <c r="Q160" s="230"/>
      <c r="R160" s="230"/>
    </row>
    <row r="161" spans="1:18" ht="12.75">
      <c r="A161" s="236" t="s">
        <v>207</v>
      </c>
      <c r="B161" s="267"/>
      <c r="C161" s="238"/>
      <c r="D161" s="268">
        <f>SUM(D158,D159,D160)</f>
        <v>0</v>
      </c>
      <c r="E161" s="294"/>
      <c r="F161" s="268">
        <f>SUM(F158,F159,F160)</f>
        <v>0</v>
      </c>
      <c r="G161" s="294"/>
      <c r="H161" s="268">
        <f>SUM(H158,H159,H160)</f>
        <v>0</v>
      </c>
      <c r="I161" s="294"/>
      <c r="J161" s="268">
        <f>SUM(J158,J159,J160)</f>
        <v>0</v>
      </c>
      <c r="K161" s="268">
        <f>SUM(K158,K159,K160)</f>
        <v>0</v>
      </c>
      <c r="L161" s="268">
        <f>L158+L159+L160</f>
        <v>0</v>
      </c>
      <c r="M161" s="243">
        <v>0</v>
      </c>
      <c r="N161" s="295">
        <v>0</v>
      </c>
      <c r="O161" s="269"/>
      <c r="P161" s="269"/>
      <c r="Q161" s="269"/>
      <c r="R161" s="269"/>
    </row>
    <row r="162" spans="1:11" ht="12.75">
      <c r="A162" s="123"/>
      <c r="B162" s="123"/>
      <c r="C162" s="123"/>
      <c r="D162" s="123"/>
      <c r="E162" s="123"/>
      <c r="F162" s="123"/>
      <c r="G162" s="289"/>
      <c r="H162" s="123"/>
      <c r="I162" s="123"/>
      <c r="J162" s="123"/>
      <c r="K162" s="154"/>
    </row>
    <row r="163" spans="1:11" ht="12.75">
      <c r="A163" s="123"/>
      <c r="B163" s="123"/>
      <c r="C163" s="123"/>
      <c r="D163" s="123"/>
      <c r="E163" s="123"/>
      <c r="F163" s="123"/>
      <c r="G163" s="289"/>
      <c r="H163" s="123"/>
      <c r="I163" s="123"/>
      <c r="J163" s="123"/>
      <c r="K163" s="154"/>
    </row>
    <row r="164" spans="1:11" ht="12.75">
      <c r="A164" s="123"/>
      <c r="B164" s="123"/>
      <c r="C164" s="123"/>
      <c r="D164" s="123"/>
      <c r="E164" s="123"/>
      <c r="F164" s="123"/>
      <c r="G164" s="289"/>
      <c r="H164" s="123"/>
      <c r="I164" s="123"/>
      <c r="J164" s="123"/>
      <c r="K164" s="154"/>
    </row>
    <row r="165" spans="1:11" ht="12.75">
      <c r="A165" s="123"/>
      <c r="B165" s="123"/>
      <c r="C165" s="123"/>
      <c r="D165" s="123"/>
      <c r="E165" s="123"/>
      <c r="F165" s="123"/>
      <c r="G165" s="289"/>
      <c r="H165" s="123"/>
      <c r="I165" s="123"/>
      <c r="J165" s="123"/>
      <c r="K165" s="154"/>
    </row>
    <row r="166" spans="1:11" ht="12.75">
      <c r="A166" s="123"/>
      <c r="B166" s="123"/>
      <c r="C166" s="123"/>
      <c r="D166" s="123"/>
      <c r="E166" s="123"/>
      <c r="F166" s="123"/>
      <c r="G166" s="289"/>
      <c r="H166" s="123"/>
      <c r="I166" s="123"/>
      <c r="J166" s="123"/>
      <c r="K166" s="154"/>
    </row>
    <row r="167" spans="1:11" ht="12.75">
      <c r="A167" s="123"/>
      <c r="B167" s="123"/>
      <c r="C167" s="123"/>
      <c r="D167" s="123"/>
      <c r="E167" s="123"/>
      <c r="F167" s="123"/>
      <c r="G167" s="289"/>
      <c r="H167" s="123"/>
      <c r="I167" s="123"/>
      <c r="J167" s="123"/>
      <c r="K167" s="154"/>
    </row>
    <row r="168" spans="1:11" ht="12.75">
      <c r="A168" s="123"/>
      <c r="B168" s="123"/>
      <c r="C168" s="123"/>
      <c r="D168" s="123"/>
      <c r="E168" s="123"/>
      <c r="F168" s="123"/>
      <c r="G168" s="289"/>
      <c r="H168" s="123"/>
      <c r="I168" s="123"/>
      <c r="J168" s="123"/>
      <c r="K168" s="154"/>
    </row>
    <row r="169" spans="1:18" ht="38.25">
      <c r="A169" s="68" t="s">
        <v>211</v>
      </c>
      <c r="B169" s="245"/>
      <c r="C169" s="246"/>
      <c r="D169" s="247" t="s">
        <v>184</v>
      </c>
      <c r="E169" s="248" t="s">
        <v>185</v>
      </c>
      <c r="F169" s="247" t="s">
        <v>184</v>
      </c>
      <c r="G169" s="248" t="s">
        <v>185</v>
      </c>
      <c r="H169" s="247" t="s">
        <v>184</v>
      </c>
      <c r="I169" s="248" t="s">
        <v>185</v>
      </c>
      <c r="J169" s="72">
        <v>2014</v>
      </c>
      <c r="K169" s="73" t="s">
        <v>108</v>
      </c>
      <c r="L169" s="74" t="s">
        <v>109</v>
      </c>
      <c r="M169" s="75" t="s">
        <v>110</v>
      </c>
      <c r="N169" s="73"/>
      <c r="O169" s="156"/>
      <c r="P169" s="156"/>
      <c r="Q169" s="156"/>
      <c r="R169" s="157"/>
    </row>
    <row r="170" spans="1:19" ht="12.75">
      <c r="A170" s="296" t="s">
        <v>1</v>
      </c>
      <c r="B170" s="297"/>
      <c r="C170" s="298"/>
      <c r="D170" s="228">
        <f aca="true" t="shared" si="0" ref="D170:L170">D92</f>
        <v>0</v>
      </c>
      <c r="E170" s="228">
        <f t="shared" si="0"/>
        <v>0</v>
      </c>
      <c r="F170" s="228">
        <f t="shared" si="0"/>
        <v>0</v>
      </c>
      <c r="G170" s="228">
        <f t="shared" si="0"/>
        <v>0</v>
      </c>
      <c r="H170" s="228">
        <f t="shared" si="0"/>
        <v>0</v>
      </c>
      <c r="I170" s="228">
        <f t="shared" si="0"/>
        <v>0</v>
      </c>
      <c r="J170" s="228">
        <f t="shared" si="0"/>
        <v>1518953</v>
      </c>
      <c r="K170" s="228">
        <f t="shared" si="0"/>
        <v>763702.13</v>
      </c>
      <c r="L170" s="228">
        <f t="shared" si="0"/>
        <v>1543503</v>
      </c>
      <c r="M170" s="118">
        <f>SUM(M92)</f>
        <v>1614323</v>
      </c>
      <c r="N170" s="228">
        <f>SUM(N92)</f>
        <v>0</v>
      </c>
      <c r="O170" s="230"/>
      <c r="P170" s="230"/>
      <c r="Q170" s="230"/>
      <c r="R170" s="230"/>
      <c r="S170" s="299"/>
    </row>
    <row r="171" spans="1:18" ht="12.75">
      <c r="A171" s="296" t="s">
        <v>89</v>
      </c>
      <c r="B171" s="297"/>
      <c r="C171" s="298"/>
      <c r="D171" s="228">
        <f aca="true" t="shared" si="1" ref="D171:L171">D123</f>
        <v>471649.89</v>
      </c>
      <c r="E171" s="228">
        <f t="shared" si="1"/>
        <v>338092.73</v>
      </c>
      <c r="F171" s="228">
        <f t="shared" si="1"/>
        <v>471649.89</v>
      </c>
      <c r="G171" s="228">
        <f t="shared" si="1"/>
        <v>338092.73</v>
      </c>
      <c r="H171" s="228">
        <f t="shared" si="1"/>
        <v>471649.89</v>
      </c>
      <c r="I171" s="228">
        <f t="shared" si="1"/>
        <v>338092.73</v>
      </c>
      <c r="J171" s="228">
        <f t="shared" si="1"/>
        <v>738000</v>
      </c>
      <c r="K171" s="228">
        <f t="shared" si="1"/>
        <v>33954.33</v>
      </c>
      <c r="L171" s="228">
        <f t="shared" si="1"/>
        <v>468460</v>
      </c>
      <c r="M171" s="118">
        <f>SUM(M123)</f>
        <v>282356</v>
      </c>
      <c r="N171" s="228">
        <f>SUM(N123)</f>
        <v>0</v>
      </c>
      <c r="O171" s="230"/>
      <c r="P171" s="230"/>
      <c r="Q171" s="230"/>
      <c r="R171" s="230"/>
    </row>
    <row r="172" spans="1:19" ht="12.75">
      <c r="A172" s="296" t="s">
        <v>101</v>
      </c>
      <c r="B172" s="297"/>
      <c r="C172" s="298"/>
      <c r="D172" s="229">
        <f aca="true" t="shared" si="2" ref="D172:L172">D150</f>
        <v>310000</v>
      </c>
      <c r="E172" s="229">
        <f t="shared" si="2"/>
        <v>240110.47</v>
      </c>
      <c r="F172" s="229">
        <f t="shared" si="2"/>
        <v>310000</v>
      </c>
      <c r="G172" s="229">
        <f t="shared" si="2"/>
        <v>240110.47</v>
      </c>
      <c r="H172" s="229">
        <f t="shared" si="2"/>
        <v>310000</v>
      </c>
      <c r="I172" s="229">
        <f t="shared" si="2"/>
        <v>240110.47</v>
      </c>
      <c r="J172" s="229">
        <f t="shared" si="2"/>
        <v>0</v>
      </c>
      <c r="K172" s="229">
        <f t="shared" si="2"/>
        <v>0</v>
      </c>
      <c r="L172" s="229">
        <f t="shared" si="2"/>
        <v>0</v>
      </c>
      <c r="M172" s="118">
        <f>SUM(M150)</f>
        <v>0</v>
      </c>
      <c r="N172" s="229">
        <f>SUM(N150)</f>
        <v>0</v>
      </c>
      <c r="O172" s="230"/>
      <c r="P172" s="230"/>
      <c r="Q172" s="230"/>
      <c r="R172" s="230"/>
      <c r="S172" s="300"/>
    </row>
    <row r="173" spans="1:18" ht="12.75">
      <c r="A173" s="296" t="s">
        <v>207</v>
      </c>
      <c r="B173" s="297"/>
      <c r="C173" s="298"/>
      <c r="D173" s="262">
        <f aca="true" t="shared" si="3" ref="D173:L173">D161</f>
        <v>0</v>
      </c>
      <c r="E173" s="262">
        <f t="shared" si="3"/>
        <v>0</v>
      </c>
      <c r="F173" s="262">
        <f t="shared" si="3"/>
        <v>0</v>
      </c>
      <c r="G173" s="262">
        <f t="shared" si="3"/>
        <v>0</v>
      </c>
      <c r="H173" s="262">
        <f t="shared" si="3"/>
        <v>0</v>
      </c>
      <c r="I173" s="262">
        <f t="shared" si="3"/>
        <v>0</v>
      </c>
      <c r="J173" s="262">
        <f t="shared" si="3"/>
        <v>0</v>
      </c>
      <c r="K173" s="262">
        <f t="shared" si="3"/>
        <v>0</v>
      </c>
      <c r="L173" s="262">
        <f t="shared" si="3"/>
        <v>0</v>
      </c>
      <c r="M173" s="118">
        <v>0</v>
      </c>
      <c r="N173" s="262">
        <v>0</v>
      </c>
      <c r="O173" s="230"/>
      <c r="P173" s="230"/>
      <c r="Q173" s="230"/>
      <c r="R173" s="230"/>
    </row>
    <row r="174" spans="1:18" ht="12.75">
      <c r="A174" s="301" t="s">
        <v>212</v>
      </c>
      <c r="B174" s="302"/>
      <c r="C174" s="303"/>
      <c r="D174" s="304">
        <f>SUM(D170,D171,D172,D173)</f>
        <v>781649.89</v>
      </c>
      <c r="E174" s="304">
        <f>E170+E171+E172+E173</f>
        <v>578203.2</v>
      </c>
      <c r="F174" s="304">
        <f>SUM(F170,F171,F172,F173)</f>
        <v>781649.89</v>
      </c>
      <c r="G174" s="304">
        <f>G170+G171+G172+G173</f>
        <v>578203.2</v>
      </c>
      <c r="H174" s="304">
        <f>SUM(H170,H171,H172,H173)</f>
        <v>781649.89</v>
      </c>
      <c r="I174" s="304">
        <f>I170+I171+I172+I173</f>
        <v>578203.2</v>
      </c>
      <c r="J174" s="304">
        <f>SUM(J170,J171,J172,J173)</f>
        <v>2256953</v>
      </c>
      <c r="K174" s="304">
        <f>SUM(K170,K171,K172,K173)</f>
        <v>797656.46</v>
      </c>
      <c r="L174" s="304">
        <f>L170+L171+L172+L173</f>
        <v>2011963</v>
      </c>
      <c r="M174" s="305">
        <f>SUM(M170,M171,M172,M173)</f>
        <v>1896679</v>
      </c>
      <c r="N174" s="304">
        <f>SUM(N170,N171,N172,N173)</f>
        <v>0</v>
      </c>
      <c r="O174" s="230"/>
      <c r="P174" s="230"/>
      <c r="Q174" s="230"/>
      <c r="R174" s="230"/>
    </row>
  </sheetData>
  <sheetProtection/>
  <mergeCells count="17">
    <mergeCell ref="K29:N29"/>
    <mergeCell ref="A58:C58"/>
    <mergeCell ref="K61:N61"/>
    <mergeCell ref="A91:C91"/>
    <mergeCell ref="A2:N2"/>
    <mergeCell ref="A5:E5"/>
    <mergeCell ref="K5:N5"/>
    <mergeCell ref="A26:C26"/>
    <mergeCell ref="A160:C160"/>
    <mergeCell ref="K136:N136"/>
    <mergeCell ref="D144:N144"/>
    <mergeCell ref="A158:C158"/>
    <mergeCell ref="A159:C159"/>
    <mergeCell ref="K101:N101"/>
    <mergeCell ref="A106:C106"/>
    <mergeCell ref="K108:N108"/>
    <mergeCell ref="A122:C122"/>
  </mergeCells>
  <printOptions/>
  <pageMargins left="0.7479166666666667" right="0.19652777777777777" top="0.5909722222222222" bottom="0.5902777777777779" header="0.31527777777777777" footer="0.5118055555555556"/>
  <pageSetup horizontalDpi="300" verticalDpi="300" orientation="portrait" paperSize="9" scale="95" r:id="rId1"/>
  <headerFooter alignWithMargins="0">
    <oddHeader>&amp;CROZPOČET OBCE TEKOVSKÉ LUŽANY NA ROK  2014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">
      <selection activeCell="E25" sqref="E25"/>
    </sheetView>
  </sheetViews>
  <sheetFormatPr defaultColWidth="9.140625" defaultRowHeight="12.75"/>
  <cols>
    <col min="1" max="1" width="3.57421875" style="306" customWidth="1"/>
    <col min="2" max="2" width="4.140625" style="1" customWidth="1"/>
    <col min="4" max="4" width="3.421875" style="0" customWidth="1"/>
    <col min="5" max="5" width="31.140625" style="0" customWidth="1"/>
    <col min="6" max="6" width="11.8515625" style="307" customWidth="1"/>
    <col min="7" max="7" width="0" style="308" hidden="1" customWidth="1"/>
    <col min="8" max="9" width="9.140625" style="308" customWidth="1"/>
    <col min="10" max="10" width="8.421875" style="309" customWidth="1"/>
    <col min="11" max="12" width="8.421875" style="0" customWidth="1"/>
  </cols>
  <sheetData>
    <row r="1" spans="2:12" ht="15.75">
      <c r="B1" s="310" t="s">
        <v>213</v>
      </c>
      <c r="E1" s="310" t="s">
        <v>214</v>
      </c>
      <c r="G1" s="311" t="e">
        <f>#REF!-G7</f>
        <v>#REF!</v>
      </c>
      <c r="H1" s="311"/>
      <c r="I1" s="311"/>
      <c r="J1" s="312"/>
      <c r="K1" s="312"/>
      <c r="L1" s="312"/>
    </row>
    <row r="2" spans="1:12" ht="12.75">
      <c r="A2" s="313"/>
      <c r="B2" s="314"/>
      <c r="C2" s="315"/>
      <c r="D2" s="315"/>
      <c r="E2" s="316"/>
      <c r="F2" s="317"/>
      <c r="G2" s="311" t="e">
        <f>SUM(G8:G10)</f>
        <v>#REF!</v>
      </c>
      <c r="H2" s="311"/>
      <c r="I2" s="311"/>
      <c r="J2" s="318">
        <f>SUM(J8:J10)</f>
        <v>248665</v>
      </c>
      <c r="K2" s="318">
        <f>SUM(K8:K10)</f>
        <v>256589</v>
      </c>
      <c r="L2" s="318">
        <f>SUM(L8:L10)</f>
        <v>0</v>
      </c>
    </row>
    <row r="3" spans="1:12" ht="16.5" customHeight="1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2" customHeight="1">
      <c r="A4" s="324"/>
      <c r="B4" s="325" t="s">
        <v>216</v>
      </c>
      <c r="C4" s="326" t="s">
        <v>217</v>
      </c>
      <c r="D4" s="1259" t="s">
        <v>218</v>
      </c>
      <c r="E4" s="1259"/>
      <c r="F4" s="1259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2" customHeight="1">
      <c r="A5" s="324"/>
      <c r="B5" s="325" t="s">
        <v>221</v>
      </c>
      <c r="C5" s="326" t="s">
        <v>222</v>
      </c>
      <c r="D5" s="1259"/>
      <c r="E5" s="1259"/>
      <c r="F5" s="1259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5" customHeight="1">
      <c r="A6" s="324"/>
      <c r="B6" s="325" t="s">
        <v>226</v>
      </c>
      <c r="C6" s="326" t="s">
        <v>227</v>
      </c>
      <c r="D6" s="1259"/>
      <c r="E6" s="1259"/>
      <c r="F6" s="1259"/>
      <c r="G6" s="333">
        <v>1</v>
      </c>
      <c r="H6" s="333">
        <v>0</v>
      </c>
      <c r="I6" s="333">
        <v>1</v>
      </c>
      <c r="J6" s="334">
        <v>2</v>
      </c>
      <c r="K6" s="335">
        <v>3</v>
      </c>
      <c r="L6" s="335">
        <v>4</v>
      </c>
    </row>
    <row r="7" spans="1:12" ht="15">
      <c r="A7" s="336">
        <v>1</v>
      </c>
      <c r="B7" s="337" t="s">
        <v>228</v>
      </c>
      <c r="C7" s="338"/>
      <c r="D7" s="339"/>
      <c r="E7" s="339" t="s">
        <v>214</v>
      </c>
      <c r="F7" s="340"/>
      <c r="G7" s="341" t="e">
        <f>G11+#REF!+#REF!+#REF!+#REF!+#REF!+#REF!</f>
        <v>#REF!</v>
      </c>
      <c r="H7" s="342">
        <f>SUM(H8:H10)</f>
        <v>348369</v>
      </c>
      <c r="I7" s="342">
        <f>SUM(I8:I10)</f>
        <v>120651.01</v>
      </c>
      <c r="J7" s="342">
        <f>SUM(J8:J10)</f>
        <v>248665</v>
      </c>
      <c r="K7" s="342">
        <f>SUM(K8:K10)</f>
        <v>256589</v>
      </c>
      <c r="L7" s="342">
        <f>SUM(L8:L10)</f>
        <v>0</v>
      </c>
    </row>
    <row r="8" spans="1:12" ht="12.75">
      <c r="A8" s="343">
        <f aca="true" t="shared" si="0" ref="A8:A23">A7+1</f>
        <v>2</v>
      </c>
      <c r="B8" s="344" t="s">
        <v>229</v>
      </c>
      <c r="C8" s="345" t="s">
        <v>230</v>
      </c>
      <c r="D8" s="346"/>
      <c r="E8" s="347"/>
      <c r="F8" s="348"/>
      <c r="G8" s="349" t="e">
        <f>G43+G46+#REF!+#REF!+#REF!+#REF!+#REF!+#REF!+G48</f>
        <v>#REF!</v>
      </c>
      <c r="H8" s="350">
        <f>SUM(H13,H28,H36,H41,H54,H63)</f>
        <v>193165</v>
      </c>
      <c r="I8" s="350">
        <f>SUM(I13,I28,I36,I41,I54,I63)</f>
        <v>100651.01</v>
      </c>
      <c r="J8" s="350">
        <f>SUM(J13,J28,J36,J41,J54,J63)</f>
        <v>188665</v>
      </c>
      <c r="K8" s="350">
        <f>SUM(K13,K28,K36,K41,K54,K63)</f>
        <v>196389</v>
      </c>
      <c r="L8" s="350">
        <f>SUM(L13,L28,L36,L41,L54,L63)</f>
        <v>0</v>
      </c>
    </row>
    <row r="9" spans="1:12" ht="12.75">
      <c r="A9" s="343">
        <f t="shared" si="0"/>
        <v>3</v>
      </c>
      <c r="B9" s="344" t="s">
        <v>231</v>
      </c>
      <c r="C9" s="345" t="s">
        <v>232</v>
      </c>
      <c r="D9" s="346"/>
      <c r="E9" s="347"/>
      <c r="F9" s="348"/>
      <c r="G9" s="349" t="e">
        <f>#REF!</f>
        <v>#REF!</v>
      </c>
      <c r="H9" s="350">
        <f>SUM(H24)</f>
        <v>0</v>
      </c>
      <c r="I9" s="350">
        <f>SUM(I24)</f>
        <v>0</v>
      </c>
      <c r="J9" s="350">
        <f>SUM(J24)</f>
        <v>0</v>
      </c>
      <c r="K9" s="350">
        <f>SUM(K24)</f>
        <v>200</v>
      </c>
      <c r="L9" s="350">
        <f>SUM(L24)</f>
        <v>0</v>
      </c>
    </row>
    <row r="10" spans="1:12" ht="12.75">
      <c r="A10" s="343">
        <f t="shared" si="0"/>
        <v>4</v>
      </c>
      <c r="B10" s="351"/>
      <c r="C10" s="352" t="s">
        <v>233</v>
      </c>
      <c r="D10" s="353"/>
      <c r="E10" s="354"/>
      <c r="F10" s="355"/>
      <c r="G10" s="356">
        <v>0</v>
      </c>
      <c r="H10" s="350">
        <f>H49</f>
        <v>155204</v>
      </c>
      <c r="I10" s="350">
        <f>I49</f>
        <v>20000</v>
      </c>
      <c r="J10" s="350">
        <f>J49</f>
        <v>60000</v>
      </c>
      <c r="K10" s="357">
        <f>K49</f>
        <v>60000</v>
      </c>
      <c r="L10" s="357">
        <f>L49</f>
        <v>0</v>
      </c>
    </row>
    <row r="11" spans="1:12" ht="12.75">
      <c r="A11" s="343">
        <f t="shared" si="0"/>
        <v>5</v>
      </c>
      <c r="B11" s="358">
        <v>1</v>
      </c>
      <c r="C11" s="359" t="s">
        <v>234</v>
      </c>
      <c r="D11" s="360"/>
      <c r="E11" s="360"/>
      <c r="F11" s="361"/>
      <c r="G11" s="362">
        <f>G12+G45+G47</f>
        <v>0</v>
      </c>
      <c r="H11" s="363">
        <f>SUM(H12+H27)</f>
        <v>158850</v>
      </c>
      <c r="I11" s="363">
        <f>SUM(I12+I27)</f>
        <v>80787.29</v>
      </c>
      <c r="J11" s="363">
        <f>SUM(J12+J27)</f>
        <v>152050</v>
      </c>
      <c r="K11" s="364">
        <f>SUM(K12+K27)</f>
        <v>160571</v>
      </c>
      <c r="L11" s="364">
        <f>SUM(L12+L27)</f>
        <v>0</v>
      </c>
    </row>
    <row r="12" spans="1:12" s="372" customFormat="1" ht="12.75">
      <c r="A12" s="343">
        <f t="shared" si="0"/>
        <v>6</v>
      </c>
      <c r="B12" s="365"/>
      <c r="C12" s="366" t="s">
        <v>235</v>
      </c>
      <c r="D12" s="367" t="s">
        <v>236</v>
      </c>
      <c r="E12" s="368"/>
      <c r="F12" s="369"/>
      <c r="G12" s="370">
        <f>G44</f>
        <v>0</v>
      </c>
      <c r="H12" s="371">
        <f>SUM(H13+H24)</f>
        <v>145350</v>
      </c>
      <c r="I12" s="371">
        <f>SUM(I13+I24)</f>
        <v>76460.18</v>
      </c>
      <c r="J12" s="371">
        <f>SUM(J13+J24)</f>
        <v>140350</v>
      </c>
      <c r="K12" s="371">
        <f>SUM(K13+K24)</f>
        <v>147871</v>
      </c>
      <c r="L12" s="371">
        <f>SUM(L13+L24)</f>
        <v>0</v>
      </c>
    </row>
    <row r="13" spans="1:12" ht="12.75">
      <c r="A13" s="343">
        <f t="shared" si="0"/>
        <v>7</v>
      </c>
      <c r="B13" s="373"/>
      <c r="C13" s="374"/>
      <c r="D13" s="347" t="s">
        <v>230</v>
      </c>
      <c r="E13" s="375"/>
      <c r="F13" s="376"/>
      <c r="G13" s="377">
        <f aca="true" t="shared" si="1" ref="G13:L13">G14</f>
        <v>8160.399999999999</v>
      </c>
      <c r="H13" s="378">
        <f t="shared" si="1"/>
        <v>145350</v>
      </c>
      <c r="I13" s="378">
        <f t="shared" si="1"/>
        <v>76460.18</v>
      </c>
      <c r="J13" s="378">
        <f t="shared" si="1"/>
        <v>140350</v>
      </c>
      <c r="K13" s="378">
        <f t="shared" si="1"/>
        <v>147671</v>
      </c>
      <c r="L13" s="378">
        <f t="shared" si="1"/>
        <v>0</v>
      </c>
    </row>
    <row r="14" spans="1:12" ht="12.75">
      <c r="A14" s="343">
        <f t="shared" si="0"/>
        <v>8</v>
      </c>
      <c r="B14" s="379"/>
      <c r="C14" s="380" t="s">
        <v>237</v>
      </c>
      <c r="D14" s="381" t="s">
        <v>238</v>
      </c>
      <c r="E14" s="382"/>
      <c r="F14" s="383"/>
      <c r="G14" s="384">
        <f>SUM(G15:G36)</f>
        <v>8160.399999999999</v>
      </c>
      <c r="H14" s="385">
        <f>SUM(H15:H23)</f>
        <v>145350</v>
      </c>
      <c r="I14" s="385">
        <f>SUM(I15:I23)</f>
        <v>76460.18</v>
      </c>
      <c r="J14" s="385">
        <f>SUM(J15:J23)</f>
        <v>140350</v>
      </c>
      <c r="K14" s="385">
        <f>SUM(K15:K23)</f>
        <v>147671</v>
      </c>
      <c r="L14" s="385">
        <f>SUM(L15:L23)</f>
        <v>0</v>
      </c>
    </row>
    <row r="15" spans="1:12" ht="12.75">
      <c r="A15" s="343">
        <f t="shared" si="0"/>
        <v>9</v>
      </c>
      <c r="B15" s="386"/>
      <c r="C15" s="387" t="s">
        <v>239</v>
      </c>
      <c r="D15" s="388">
        <v>1</v>
      </c>
      <c r="E15" s="389" t="s">
        <v>240</v>
      </c>
      <c r="F15" s="390"/>
      <c r="G15" s="391">
        <f aca="true" t="shared" si="2" ref="G15:G23">ROUND(K15/30.126,1)</f>
        <v>1825.7</v>
      </c>
      <c r="H15" s="392">
        <f>výdavky!D8</f>
        <v>55000</v>
      </c>
      <c r="I15" s="392">
        <f>výdavky!E8</f>
        <v>25425.39</v>
      </c>
      <c r="J15" s="392">
        <f>výdavky!F8</f>
        <v>55000</v>
      </c>
      <c r="K15" s="392">
        <f>výdavky!G8</f>
        <v>55000</v>
      </c>
      <c r="L15" s="392">
        <f>výdavky!H8</f>
        <v>0</v>
      </c>
    </row>
    <row r="16" spans="1:12" ht="12.75">
      <c r="A16" s="343">
        <f t="shared" si="0"/>
        <v>10</v>
      </c>
      <c r="B16" s="386"/>
      <c r="C16" s="387" t="s">
        <v>241</v>
      </c>
      <c r="D16" s="393">
        <f aca="true" t="shared" si="3" ref="D16:D23">D15+1</f>
        <v>2</v>
      </c>
      <c r="E16" s="394" t="s">
        <v>242</v>
      </c>
      <c r="F16" s="395"/>
      <c r="G16" s="396">
        <f t="shared" si="2"/>
        <v>668.9</v>
      </c>
      <c r="H16" s="397">
        <f>výdavky!D11</f>
        <v>20000</v>
      </c>
      <c r="I16" s="397">
        <f>výdavky!E11</f>
        <v>9507.37</v>
      </c>
      <c r="J16" s="397">
        <f>výdavky!F11</f>
        <v>20000</v>
      </c>
      <c r="K16" s="397">
        <f>výdavky!G11</f>
        <v>20150</v>
      </c>
      <c r="L16" s="397">
        <f>výdavky!H11</f>
        <v>0</v>
      </c>
    </row>
    <row r="17" spans="1:12" ht="12.75">
      <c r="A17" s="343">
        <f t="shared" si="0"/>
        <v>11</v>
      </c>
      <c r="B17" s="386"/>
      <c r="C17" s="387" t="s">
        <v>243</v>
      </c>
      <c r="D17" s="388">
        <f t="shared" si="3"/>
        <v>3</v>
      </c>
      <c r="E17" s="389" t="s">
        <v>244</v>
      </c>
      <c r="F17" s="390"/>
      <c r="G17" s="391">
        <f t="shared" si="2"/>
        <v>5</v>
      </c>
      <c r="H17" s="392">
        <f>výdavky!D13</f>
        <v>200</v>
      </c>
      <c r="I17" s="392">
        <f>výdavky!E13</f>
        <v>84.08</v>
      </c>
      <c r="J17" s="392">
        <f>výdavky!F13</f>
        <v>150</v>
      </c>
      <c r="K17" s="392">
        <f>výdavky!G13</f>
        <v>150</v>
      </c>
      <c r="L17" s="392">
        <f>výdavky!H13</f>
        <v>0</v>
      </c>
    </row>
    <row r="18" spans="1:12" ht="12.75">
      <c r="A18" s="343">
        <f t="shared" si="0"/>
        <v>12</v>
      </c>
      <c r="B18" s="386"/>
      <c r="C18" s="387" t="s">
        <v>245</v>
      </c>
      <c r="D18" s="393">
        <f t="shared" si="3"/>
        <v>4</v>
      </c>
      <c r="E18" s="398" t="s">
        <v>246</v>
      </c>
      <c r="F18" s="399"/>
      <c r="G18" s="396">
        <f t="shared" si="2"/>
        <v>426.4</v>
      </c>
      <c r="H18" s="397">
        <f>výdavky!D14</f>
        <v>15000</v>
      </c>
      <c r="I18" s="397">
        <f>výdavky!E14</f>
        <v>5871</v>
      </c>
      <c r="J18" s="397">
        <f>výdavky!F14</f>
        <v>12000</v>
      </c>
      <c r="K18" s="397">
        <f>výdavky!G14</f>
        <v>12845</v>
      </c>
      <c r="L18" s="397">
        <f>výdavky!H14</f>
        <v>0</v>
      </c>
    </row>
    <row r="19" spans="1:12" ht="12.75">
      <c r="A19" s="343">
        <f t="shared" si="0"/>
        <v>13</v>
      </c>
      <c r="B19" s="386"/>
      <c r="C19" s="387" t="s">
        <v>247</v>
      </c>
      <c r="D19" s="393">
        <f t="shared" si="3"/>
        <v>5</v>
      </c>
      <c r="E19" s="389" t="s">
        <v>248</v>
      </c>
      <c r="F19" s="390"/>
      <c r="G19" s="391">
        <f t="shared" si="2"/>
        <v>440</v>
      </c>
      <c r="H19" s="392">
        <f>výdavky!D16</f>
        <v>12900</v>
      </c>
      <c r="I19" s="392">
        <f>výdavky!E16</f>
        <v>7465.17</v>
      </c>
      <c r="J19" s="392">
        <f>výdavky!F16-výdavky!F22-výdavky!F28</f>
        <v>12850</v>
      </c>
      <c r="K19" s="392">
        <f>výdavky!G16-výdavky!G28</f>
        <v>13256</v>
      </c>
      <c r="L19" s="392">
        <f>výdavky!H16</f>
        <v>0</v>
      </c>
    </row>
    <row r="20" spans="1:12" ht="12.75">
      <c r="A20" s="343">
        <f t="shared" si="0"/>
        <v>14</v>
      </c>
      <c r="B20" s="386"/>
      <c r="C20" s="387" t="s">
        <v>249</v>
      </c>
      <c r="D20" s="388">
        <f t="shared" si="3"/>
        <v>6</v>
      </c>
      <c r="E20" s="400" t="s">
        <v>250</v>
      </c>
      <c r="F20" s="401"/>
      <c r="G20" s="402">
        <f t="shared" si="2"/>
        <v>276.2</v>
      </c>
      <c r="H20" s="403">
        <f>výdavky!D29</f>
        <v>7500</v>
      </c>
      <c r="I20" s="403">
        <f>výdavky!E29</f>
        <v>3533.4500000000003</v>
      </c>
      <c r="J20" s="403">
        <f>výdavky!F29-výdavky!F31</f>
        <v>6970</v>
      </c>
      <c r="K20" s="403">
        <f>výdavky!G29-výdavky!G31</f>
        <v>8320</v>
      </c>
      <c r="L20" s="403">
        <f>výdavky!H29</f>
        <v>0</v>
      </c>
    </row>
    <row r="21" spans="1:12" ht="12.75">
      <c r="A21" s="343">
        <f t="shared" si="0"/>
        <v>15</v>
      </c>
      <c r="B21" s="386"/>
      <c r="C21" s="387" t="s">
        <v>251</v>
      </c>
      <c r="D21" s="393">
        <f t="shared" si="3"/>
        <v>7</v>
      </c>
      <c r="E21" s="398" t="s">
        <v>252</v>
      </c>
      <c r="F21" s="399"/>
      <c r="G21" s="396">
        <f t="shared" si="2"/>
        <v>43.2</v>
      </c>
      <c r="H21" s="397">
        <f>výdavky!D36</f>
        <v>2200</v>
      </c>
      <c r="I21" s="397">
        <f>výdavky!E36</f>
        <v>360.60999999999996</v>
      </c>
      <c r="J21" s="397">
        <f>výdavky!F36</f>
        <v>1500</v>
      </c>
      <c r="K21" s="397">
        <f>výdavky!G36</f>
        <v>1300</v>
      </c>
      <c r="L21" s="397">
        <f>výdavky!H36</f>
        <v>0</v>
      </c>
    </row>
    <row r="22" spans="1:12" ht="12.75">
      <c r="A22" s="343">
        <f t="shared" si="0"/>
        <v>16</v>
      </c>
      <c r="B22" s="386"/>
      <c r="C22" s="387" t="s">
        <v>253</v>
      </c>
      <c r="D22" s="393">
        <f t="shared" si="3"/>
        <v>8</v>
      </c>
      <c r="E22" s="398" t="s">
        <v>254</v>
      </c>
      <c r="F22" s="399"/>
      <c r="G22" s="396">
        <f t="shared" si="2"/>
        <v>40.2</v>
      </c>
      <c r="H22" s="397">
        <f>výdavky!D40</f>
        <v>900</v>
      </c>
      <c r="I22" s="397">
        <f>výdavky!E40</f>
        <v>775.6</v>
      </c>
      <c r="J22" s="397">
        <f>výdavky!F40</f>
        <v>910</v>
      </c>
      <c r="K22" s="397">
        <f>výdavky!G40</f>
        <v>1210</v>
      </c>
      <c r="L22" s="397">
        <f>výdavky!H40</f>
        <v>0</v>
      </c>
    </row>
    <row r="23" spans="1:12" ht="12.75">
      <c r="A23" s="343">
        <f t="shared" si="0"/>
        <v>17</v>
      </c>
      <c r="B23" s="386"/>
      <c r="C23" s="387" t="s">
        <v>255</v>
      </c>
      <c r="D23" s="393">
        <f t="shared" si="3"/>
        <v>9</v>
      </c>
      <c r="E23" s="398" t="s">
        <v>256</v>
      </c>
      <c r="F23" s="399"/>
      <c r="G23" s="396">
        <f t="shared" si="2"/>
        <v>1176.4</v>
      </c>
      <c r="H23" s="397">
        <f>výdavky!D48</f>
        <v>31650</v>
      </c>
      <c r="I23" s="397">
        <f>výdavky!E48</f>
        <v>23437.510000000002</v>
      </c>
      <c r="J23" s="397">
        <f>výdavky!F48-výdavky!F58-výdavky!F64</f>
        <v>30970</v>
      </c>
      <c r="K23" s="397">
        <f>výdavky!G48-výdavky!G58-výdavky!G64</f>
        <v>35440</v>
      </c>
      <c r="L23" s="397">
        <f>výdavky!H48</f>
        <v>0</v>
      </c>
    </row>
    <row r="24" spans="1:12" ht="12.75">
      <c r="A24" s="343">
        <v>18</v>
      </c>
      <c r="B24" s="379"/>
      <c r="C24" s="387"/>
      <c r="D24" s="347" t="s">
        <v>232</v>
      </c>
      <c r="E24" s="404"/>
      <c r="F24" s="376"/>
      <c r="G24" s="377">
        <f aca="true" t="shared" si="4" ref="G24:L24">G25</f>
        <v>848.2</v>
      </c>
      <c r="H24" s="378">
        <f t="shared" si="4"/>
        <v>0</v>
      </c>
      <c r="I24" s="378">
        <f t="shared" si="4"/>
        <v>0</v>
      </c>
      <c r="J24" s="378">
        <f t="shared" si="4"/>
        <v>0</v>
      </c>
      <c r="K24" s="378">
        <f t="shared" si="4"/>
        <v>200</v>
      </c>
      <c r="L24" s="378">
        <f t="shared" si="4"/>
        <v>0</v>
      </c>
    </row>
    <row r="25" spans="1:12" ht="12.75">
      <c r="A25" s="343">
        <f>A24+1</f>
        <v>19</v>
      </c>
      <c r="B25" s="386"/>
      <c r="C25" s="380" t="s">
        <v>237</v>
      </c>
      <c r="D25" s="381" t="s">
        <v>238</v>
      </c>
      <c r="E25" s="382"/>
      <c r="F25" s="383"/>
      <c r="G25" s="384">
        <f>SUM(G26:G28)</f>
        <v>848.2</v>
      </c>
      <c r="H25" s="385">
        <f>SUM(H26:H26)</f>
        <v>0</v>
      </c>
      <c r="I25" s="385">
        <f>SUM(I26:I26)</f>
        <v>0</v>
      </c>
      <c r="J25" s="385">
        <f>SUM(J26:J26)</f>
        <v>0</v>
      </c>
      <c r="K25" s="385">
        <f>SUM(K26:K26)</f>
        <v>200</v>
      </c>
      <c r="L25" s="385">
        <f>SUM(L26:L26)</f>
        <v>0</v>
      </c>
    </row>
    <row r="26" spans="1:12" ht="12.75">
      <c r="A26" s="343">
        <f>A25+1</f>
        <v>20</v>
      </c>
      <c r="B26" s="379"/>
      <c r="C26" s="387" t="s">
        <v>257</v>
      </c>
      <c r="D26" s="393">
        <v>1</v>
      </c>
      <c r="E26" s="398" t="s">
        <v>258</v>
      </c>
      <c r="F26" s="405"/>
      <c r="G26" s="406">
        <v>18.2</v>
      </c>
      <c r="H26" s="397">
        <f>výdavky!D422</f>
        <v>0</v>
      </c>
      <c r="I26" s="397">
        <f>výdavky!E422</f>
        <v>0</v>
      </c>
      <c r="J26" s="397">
        <f>výdavky!F422</f>
        <v>0</v>
      </c>
      <c r="K26" s="397">
        <f>výdavky!G422</f>
        <v>200</v>
      </c>
      <c r="L26" s="397">
        <f>výdavky!H422</f>
        <v>0</v>
      </c>
    </row>
    <row r="27" spans="1:12" ht="12.75">
      <c r="A27" s="343">
        <v>21</v>
      </c>
      <c r="B27" s="407"/>
      <c r="C27" s="366" t="s">
        <v>259</v>
      </c>
      <c r="D27" s="367" t="s">
        <v>260</v>
      </c>
      <c r="E27" s="408"/>
      <c r="F27" s="409"/>
      <c r="G27" s="410">
        <f>G29</f>
        <v>415</v>
      </c>
      <c r="H27" s="411">
        <f aca="true" t="shared" si="5" ref="H27:L28">H28</f>
        <v>13500</v>
      </c>
      <c r="I27" s="411">
        <f t="shared" si="5"/>
        <v>4327.11</v>
      </c>
      <c r="J27" s="411">
        <f t="shared" si="5"/>
        <v>11700</v>
      </c>
      <c r="K27" s="411">
        <f t="shared" si="5"/>
        <v>12700</v>
      </c>
      <c r="L27" s="411">
        <f t="shared" si="5"/>
        <v>0</v>
      </c>
    </row>
    <row r="28" spans="1:12" s="413" customFormat="1" ht="12.75">
      <c r="A28" s="343">
        <f>A27+1</f>
        <v>22</v>
      </c>
      <c r="B28" s="412"/>
      <c r="C28" s="374"/>
      <c r="D28" s="348" t="s">
        <v>230</v>
      </c>
      <c r="E28" s="375"/>
      <c r="F28" s="376"/>
      <c r="G28" s="377">
        <f>G29</f>
        <v>415</v>
      </c>
      <c r="H28" s="378">
        <f t="shared" si="5"/>
        <v>13500</v>
      </c>
      <c r="I28" s="378">
        <f t="shared" si="5"/>
        <v>4327.11</v>
      </c>
      <c r="J28" s="378">
        <f t="shared" si="5"/>
        <v>11700</v>
      </c>
      <c r="K28" s="378">
        <f t="shared" si="5"/>
        <v>12700</v>
      </c>
      <c r="L28" s="378">
        <f t="shared" si="5"/>
        <v>0</v>
      </c>
    </row>
    <row r="29" spans="1:12" s="413" customFormat="1" ht="12.75">
      <c r="A29" s="343">
        <f>A28+1</f>
        <v>23</v>
      </c>
      <c r="B29" s="412"/>
      <c r="C29" s="414" t="s">
        <v>237</v>
      </c>
      <c r="D29" s="415" t="s">
        <v>238</v>
      </c>
      <c r="E29" s="382"/>
      <c r="F29" s="416"/>
      <c r="G29" s="417">
        <f>SUM(G34:G37)</f>
        <v>415</v>
      </c>
      <c r="H29" s="385">
        <f>SUM(H30,H31,H32,H33,H34)</f>
        <v>13500</v>
      </c>
      <c r="I29" s="385">
        <f>SUM(I30,I31,I32,I33,I34)</f>
        <v>4327.11</v>
      </c>
      <c r="J29" s="385">
        <f>SUM(J30,J31,J32,J33,J34)</f>
        <v>11700</v>
      </c>
      <c r="K29" s="385">
        <f>SUM(K30,K31,K32,K33,K34)</f>
        <v>12700</v>
      </c>
      <c r="L29" s="385">
        <f>SUM(L30,L31,L32,L33,L34)</f>
        <v>0</v>
      </c>
    </row>
    <row r="30" spans="1:12" s="413" customFormat="1" ht="12.75">
      <c r="A30" s="343">
        <v>24</v>
      </c>
      <c r="B30" s="412"/>
      <c r="C30" s="418" t="s">
        <v>239</v>
      </c>
      <c r="D30" s="419">
        <v>10</v>
      </c>
      <c r="E30" s="420" t="s">
        <v>240</v>
      </c>
      <c r="F30" s="421" t="s">
        <v>261</v>
      </c>
      <c r="G30" s="422"/>
      <c r="H30" s="392">
        <f>výdavky!D72</f>
        <v>7200</v>
      </c>
      <c r="I30" s="392">
        <f>výdavky!E72</f>
        <v>2958.47</v>
      </c>
      <c r="J30" s="392">
        <f>výdavky!F72</f>
        <v>6000</v>
      </c>
      <c r="K30" s="392">
        <f>výdavky!G72</f>
        <v>7800</v>
      </c>
      <c r="L30" s="392">
        <f>výdavky!H72</f>
        <v>0</v>
      </c>
    </row>
    <row r="31" spans="1:12" s="413" customFormat="1" ht="12.75">
      <c r="A31" s="343">
        <v>25</v>
      </c>
      <c r="B31" s="412"/>
      <c r="C31" s="418" t="s">
        <v>241</v>
      </c>
      <c r="D31" s="423">
        <v>11</v>
      </c>
      <c r="E31" s="424" t="s">
        <v>242</v>
      </c>
      <c r="F31" s="425" t="s">
        <v>261</v>
      </c>
      <c r="G31" s="426"/>
      <c r="H31" s="397">
        <f>výdavky!D73</f>
        <v>2500</v>
      </c>
      <c r="I31" s="397">
        <f>výdavky!E73</f>
        <v>1061.02</v>
      </c>
      <c r="J31" s="397">
        <f>výdavky!F73</f>
        <v>2100</v>
      </c>
      <c r="K31" s="397">
        <f>výdavky!G73</f>
        <v>2800</v>
      </c>
      <c r="L31" s="397">
        <f>výdavky!H73</f>
        <v>0</v>
      </c>
    </row>
    <row r="32" spans="1:12" s="413" customFormat="1" ht="12.75">
      <c r="A32" s="343">
        <v>26</v>
      </c>
      <c r="B32" s="412"/>
      <c r="C32" s="418" t="s">
        <v>255</v>
      </c>
      <c r="D32" s="419">
        <v>12</v>
      </c>
      <c r="E32" s="420" t="s">
        <v>256</v>
      </c>
      <c r="F32" s="421" t="s">
        <v>261</v>
      </c>
      <c r="G32" s="422"/>
      <c r="H32" s="392">
        <f>výdavky!D74</f>
        <v>300</v>
      </c>
      <c r="I32" s="392">
        <f>výdavky!E74</f>
        <v>30.28</v>
      </c>
      <c r="J32" s="392">
        <f>výdavky!F74</f>
        <v>100</v>
      </c>
      <c r="K32" s="392">
        <f>výdavky!G74</f>
        <v>100</v>
      </c>
      <c r="L32" s="392">
        <f>výdavky!H74</f>
        <v>0</v>
      </c>
    </row>
    <row r="33" spans="1:12" s="413" customFormat="1" ht="12.75">
      <c r="A33" s="343">
        <v>27</v>
      </c>
      <c r="B33" s="412"/>
      <c r="C33" s="418" t="s">
        <v>255</v>
      </c>
      <c r="D33" s="423">
        <v>13</v>
      </c>
      <c r="E33" s="424" t="s">
        <v>262</v>
      </c>
      <c r="F33" s="427"/>
      <c r="G33" s="426"/>
      <c r="H33" s="397">
        <v>0</v>
      </c>
      <c r="I33" s="397">
        <v>0</v>
      </c>
      <c r="J33" s="397">
        <v>0</v>
      </c>
      <c r="K33" s="397">
        <v>0</v>
      </c>
      <c r="L33" s="397">
        <v>0</v>
      </c>
    </row>
    <row r="34" spans="1:12" s="413" customFormat="1" ht="12.75">
      <c r="A34" s="343">
        <v>28</v>
      </c>
      <c r="B34" s="412"/>
      <c r="C34" s="418" t="s">
        <v>255</v>
      </c>
      <c r="D34" s="393">
        <v>14</v>
      </c>
      <c r="E34" s="424" t="s">
        <v>263</v>
      </c>
      <c r="F34" s="427"/>
      <c r="G34" s="428">
        <f>ROUND(K34/30.126,1)</f>
        <v>66.4</v>
      </c>
      <c r="H34" s="429">
        <f>výdavky!D75</f>
        <v>3500</v>
      </c>
      <c r="I34" s="429">
        <f>výdavky!E75</f>
        <v>277.34</v>
      </c>
      <c r="J34" s="429">
        <f>výdavky!F75</f>
        <v>3500</v>
      </c>
      <c r="K34" s="429">
        <f>výdavky!G75</f>
        <v>2000</v>
      </c>
      <c r="L34" s="429">
        <f>výdavky!H75</f>
        <v>0</v>
      </c>
    </row>
    <row r="35" spans="1:12" ht="12.75">
      <c r="A35" s="343">
        <f aca="true" t="shared" si="6" ref="A35:A52">A34+1</f>
        <v>29</v>
      </c>
      <c r="B35" s="358">
        <v>2</v>
      </c>
      <c r="C35" s="359" t="s">
        <v>264</v>
      </c>
      <c r="D35" s="360"/>
      <c r="E35" s="360"/>
      <c r="F35" s="361"/>
      <c r="G35" s="362">
        <f>G37</f>
        <v>116.2</v>
      </c>
      <c r="H35" s="364">
        <f aca="true" t="shared" si="7" ref="H35:L36">H36</f>
        <v>2000</v>
      </c>
      <c r="I35" s="364">
        <f t="shared" si="7"/>
        <v>3670.9</v>
      </c>
      <c r="J35" s="364">
        <f t="shared" si="7"/>
        <v>4400</v>
      </c>
      <c r="K35" s="364">
        <f t="shared" si="7"/>
        <v>7282</v>
      </c>
      <c r="L35" s="364">
        <f t="shared" si="7"/>
        <v>0</v>
      </c>
    </row>
    <row r="36" spans="1:12" ht="12.75">
      <c r="A36" s="343">
        <f t="shared" si="6"/>
        <v>30</v>
      </c>
      <c r="B36" s="373"/>
      <c r="C36" s="374"/>
      <c r="D36" s="347" t="s">
        <v>230</v>
      </c>
      <c r="E36" s="375"/>
      <c r="F36" s="376"/>
      <c r="G36" s="377">
        <f>G37</f>
        <v>116.2</v>
      </c>
      <c r="H36" s="378">
        <f t="shared" si="7"/>
        <v>2000</v>
      </c>
      <c r="I36" s="378">
        <f t="shared" si="7"/>
        <v>3670.9</v>
      </c>
      <c r="J36" s="378">
        <f t="shared" si="7"/>
        <v>4400</v>
      </c>
      <c r="K36" s="378">
        <f t="shared" si="7"/>
        <v>7282</v>
      </c>
      <c r="L36" s="378">
        <f t="shared" si="7"/>
        <v>0</v>
      </c>
    </row>
    <row r="37" spans="1:12" ht="12.75">
      <c r="A37" s="343">
        <f t="shared" si="6"/>
        <v>31</v>
      </c>
      <c r="B37" s="407"/>
      <c r="C37" s="414" t="s">
        <v>237</v>
      </c>
      <c r="D37" s="415" t="s">
        <v>238</v>
      </c>
      <c r="E37" s="382"/>
      <c r="F37" s="383"/>
      <c r="G37" s="430">
        <f>SUM(G38)</f>
        <v>116.2</v>
      </c>
      <c r="H37" s="431">
        <f>SUM(H38:H39)</f>
        <v>2000</v>
      </c>
      <c r="I37" s="431">
        <f>SUM(I38:I39)</f>
        <v>3670.9</v>
      </c>
      <c r="J37" s="431">
        <f>SUM(J38:J39)</f>
        <v>4400</v>
      </c>
      <c r="K37" s="431">
        <f>SUM(K38:K39)</f>
        <v>7282</v>
      </c>
      <c r="L37" s="431">
        <f>SUM(L38:L39)</f>
        <v>0</v>
      </c>
    </row>
    <row r="38" spans="1:12" ht="12.75">
      <c r="A38" s="343">
        <f t="shared" si="6"/>
        <v>32</v>
      </c>
      <c r="B38" s="412"/>
      <c r="C38" s="418" t="s">
        <v>265</v>
      </c>
      <c r="D38" s="432" t="s">
        <v>266</v>
      </c>
      <c r="E38" s="389" t="s">
        <v>267</v>
      </c>
      <c r="F38" s="433"/>
      <c r="G38" s="434">
        <f>ROUND(K38/30.126,1)</f>
        <v>116.2</v>
      </c>
      <c r="H38" s="435">
        <f>výdavky!D68</f>
        <v>1000</v>
      </c>
      <c r="I38" s="435">
        <f>výdavky!E68</f>
        <v>1593.6</v>
      </c>
      <c r="J38" s="435">
        <f>výdavky!F68</f>
        <v>1600</v>
      </c>
      <c r="K38" s="435">
        <f>výdavky!G68</f>
        <v>3500</v>
      </c>
      <c r="L38" s="435">
        <f>výdavky!H68</f>
        <v>0</v>
      </c>
    </row>
    <row r="39" spans="1:12" ht="12.75">
      <c r="A39" s="343">
        <f t="shared" si="6"/>
        <v>33</v>
      </c>
      <c r="B39" s="412"/>
      <c r="C39" s="436" t="s">
        <v>265</v>
      </c>
      <c r="D39" s="437" t="s">
        <v>268</v>
      </c>
      <c r="E39" s="398" t="s">
        <v>269</v>
      </c>
      <c r="F39" s="405"/>
      <c r="G39" s="428"/>
      <c r="H39" s="429">
        <f>SUM(výdavky!D66,výdavky!D67)</f>
        <v>1000</v>
      </c>
      <c r="I39" s="429">
        <f>SUM(výdavky!E66,výdavky!E67)</f>
        <v>2077.3</v>
      </c>
      <c r="J39" s="429">
        <f>SUM(výdavky!F66,výdavky!F67)</f>
        <v>2800</v>
      </c>
      <c r="K39" s="429">
        <f>výdavky!G66+výdavky!G67</f>
        <v>3782</v>
      </c>
      <c r="L39" s="429">
        <v>0</v>
      </c>
    </row>
    <row r="40" spans="1:12" ht="12.75">
      <c r="A40" s="343">
        <f t="shared" si="6"/>
        <v>34</v>
      </c>
      <c r="B40" s="358">
        <v>3</v>
      </c>
      <c r="C40" s="359" t="s">
        <v>270</v>
      </c>
      <c r="D40" s="360"/>
      <c r="E40" s="360"/>
      <c r="F40" s="361"/>
      <c r="G40" s="362">
        <f>G42</f>
        <v>199.2</v>
      </c>
      <c r="H40" s="364">
        <f>SUM(H41+H49)</f>
        <v>164704</v>
      </c>
      <c r="I40" s="364">
        <f>SUM(I41+I49)</f>
        <v>23323.5</v>
      </c>
      <c r="J40" s="364">
        <f>SUM(J41+J49)</f>
        <v>69500</v>
      </c>
      <c r="K40" s="364">
        <f>SUM(K41+K49)</f>
        <v>67670</v>
      </c>
      <c r="L40" s="364">
        <f>SUM(L41+L49)</f>
        <v>0</v>
      </c>
    </row>
    <row r="41" spans="1:12" ht="12.75">
      <c r="A41" s="343">
        <f t="shared" si="6"/>
        <v>35</v>
      </c>
      <c r="B41" s="373"/>
      <c r="C41" s="374"/>
      <c r="D41" s="347" t="s">
        <v>230</v>
      </c>
      <c r="E41" s="375"/>
      <c r="F41" s="376"/>
      <c r="G41" s="377">
        <f>G42</f>
        <v>199.2</v>
      </c>
      <c r="H41" s="378">
        <f>SUM(H42+H44)</f>
        <v>9500</v>
      </c>
      <c r="I41" s="378">
        <f>SUM(I42+I44)</f>
        <v>3323.5</v>
      </c>
      <c r="J41" s="378">
        <f>SUM(J42+J44)</f>
        <v>9500</v>
      </c>
      <c r="K41" s="378">
        <f>SUM(K42+K44)</f>
        <v>7670</v>
      </c>
      <c r="L41" s="378">
        <f>SUM(L42+L44)</f>
        <v>0</v>
      </c>
    </row>
    <row r="42" spans="1:12" ht="12.75">
      <c r="A42" s="343">
        <f t="shared" si="6"/>
        <v>36</v>
      </c>
      <c r="B42" s="379"/>
      <c r="C42" s="380" t="s">
        <v>271</v>
      </c>
      <c r="D42" s="381" t="s">
        <v>272</v>
      </c>
      <c r="E42" s="382"/>
      <c r="F42" s="383"/>
      <c r="G42" s="384">
        <f>SUM(G43:G43)</f>
        <v>199.2</v>
      </c>
      <c r="H42" s="385">
        <f>H43</f>
        <v>7700</v>
      </c>
      <c r="I42" s="385">
        <f>I43</f>
        <v>3210.66</v>
      </c>
      <c r="J42" s="385">
        <f>J43</f>
        <v>7700</v>
      </c>
      <c r="K42" s="385">
        <f>K43</f>
        <v>6000</v>
      </c>
      <c r="L42" s="385">
        <f>L43</f>
        <v>0</v>
      </c>
    </row>
    <row r="43" spans="1:12" ht="12.75">
      <c r="A43" s="343">
        <f t="shared" si="6"/>
        <v>37</v>
      </c>
      <c r="B43" s="379"/>
      <c r="C43" s="438" t="s">
        <v>273</v>
      </c>
      <c r="D43" s="432" t="s">
        <v>266</v>
      </c>
      <c r="E43" s="420" t="s">
        <v>274</v>
      </c>
      <c r="F43" s="421"/>
      <c r="G43" s="439">
        <f>ROUND(K43/30.126,1)</f>
        <v>199.2</v>
      </c>
      <c r="H43" s="392">
        <f>výdavky!D69</f>
        <v>7700</v>
      </c>
      <c r="I43" s="392">
        <f>výdavky!E69</f>
        <v>3210.66</v>
      </c>
      <c r="J43" s="392">
        <f>výdavky!F69</f>
        <v>7700</v>
      </c>
      <c r="K43" s="392">
        <f>výdavky!G69</f>
        <v>6000</v>
      </c>
      <c r="L43" s="392">
        <f>výdavky!H69</f>
        <v>0</v>
      </c>
    </row>
    <row r="44" spans="1:12" ht="12.75">
      <c r="A44" s="343">
        <f t="shared" si="6"/>
        <v>38</v>
      </c>
      <c r="B44" s="379"/>
      <c r="C44" s="380" t="s">
        <v>275</v>
      </c>
      <c r="D44" s="381" t="s">
        <v>276</v>
      </c>
      <c r="E44" s="382"/>
      <c r="F44" s="383"/>
      <c r="G44" s="384">
        <f>SUM(G45:G45)</f>
        <v>0</v>
      </c>
      <c r="H44" s="385">
        <f>SUM(H45:H48)</f>
        <v>1800</v>
      </c>
      <c r="I44" s="385">
        <f>SUM(I45:I48)</f>
        <v>112.84</v>
      </c>
      <c r="J44" s="385">
        <f>SUM(J45:J48)</f>
        <v>1800</v>
      </c>
      <c r="K44" s="385">
        <f>SUM(K45:K48)</f>
        <v>1670</v>
      </c>
      <c r="L44" s="385">
        <f>SUM(L45:L48)</f>
        <v>0</v>
      </c>
    </row>
    <row r="45" spans="1:12" ht="12.75">
      <c r="A45" s="343">
        <f t="shared" si="6"/>
        <v>39</v>
      </c>
      <c r="B45" s="379"/>
      <c r="C45" s="438" t="s">
        <v>277</v>
      </c>
      <c r="D45" s="432" t="s">
        <v>268</v>
      </c>
      <c r="E45" s="389" t="s">
        <v>278</v>
      </c>
      <c r="F45" s="433"/>
      <c r="G45" s="439">
        <f>ROUND(K45/30.126,1)</f>
        <v>0</v>
      </c>
      <c r="H45" s="392">
        <v>0</v>
      </c>
      <c r="I45" s="392">
        <v>0</v>
      </c>
      <c r="J45" s="392">
        <v>0</v>
      </c>
      <c r="K45" s="392">
        <v>0</v>
      </c>
      <c r="L45" s="392">
        <v>0</v>
      </c>
    </row>
    <row r="46" spans="1:12" ht="12.75">
      <c r="A46" s="343">
        <f t="shared" si="6"/>
        <v>40</v>
      </c>
      <c r="B46" s="379"/>
      <c r="C46" s="438" t="s">
        <v>277</v>
      </c>
      <c r="D46" s="437" t="s">
        <v>279</v>
      </c>
      <c r="E46" s="398" t="s">
        <v>280</v>
      </c>
      <c r="F46" s="405"/>
      <c r="G46" s="406">
        <f>ROUND(K46/30.126,1)</f>
        <v>47.8</v>
      </c>
      <c r="H46" s="397">
        <f>SUM(výdavky!D76)</f>
        <v>1500</v>
      </c>
      <c r="I46" s="397">
        <f>SUM(výdavky!E76)</f>
        <v>0</v>
      </c>
      <c r="J46" s="397">
        <f>výdavky!F76</f>
        <v>1500</v>
      </c>
      <c r="K46" s="397">
        <f>výdavky!G76</f>
        <v>1440</v>
      </c>
      <c r="L46" s="397">
        <f>výdavky!H76</f>
        <v>0</v>
      </c>
    </row>
    <row r="47" spans="1:12" s="443" customFormat="1" ht="11.25">
      <c r="A47" s="343">
        <f t="shared" si="6"/>
        <v>41</v>
      </c>
      <c r="B47" s="440"/>
      <c r="C47" s="438" t="s">
        <v>277</v>
      </c>
      <c r="D47" s="432" t="s">
        <v>281</v>
      </c>
      <c r="E47" s="441" t="s">
        <v>282</v>
      </c>
      <c r="F47" s="440"/>
      <c r="G47" s="440"/>
      <c r="H47" s="442">
        <v>0</v>
      </c>
      <c r="I47" s="442">
        <v>0</v>
      </c>
      <c r="J47" s="442">
        <v>0</v>
      </c>
      <c r="K47" s="442">
        <v>0</v>
      </c>
      <c r="L47" s="442">
        <v>0</v>
      </c>
    </row>
    <row r="48" spans="1:12" s="443" customFormat="1" ht="11.25">
      <c r="A48" s="343">
        <f t="shared" si="6"/>
        <v>42</v>
      </c>
      <c r="B48" s="440"/>
      <c r="C48" s="438" t="s">
        <v>277</v>
      </c>
      <c r="D48" s="437" t="s">
        <v>283</v>
      </c>
      <c r="E48" s="444" t="s">
        <v>284</v>
      </c>
      <c r="F48" s="445"/>
      <c r="G48" s="445"/>
      <c r="H48" s="446">
        <f>výdavky!D70</f>
        <v>300</v>
      </c>
      <c r="I48" s="447">
        <f>výdavky!E70</f>
        <v>112.84</v>
      </c>
      <c r="J48" s="446">
        <f>výdavky!F70</f>
        <v>300</v>
      </c>
      <c r="K48" s="446">
        <f>výdavky!G70</f>
        <v>230</v>
      </c>
      <c r="L48" s="446">
        <f>výdavky!H70</f>
        <v>0</v>
      </c>
    </row>
    <row r="49" spans="1:12" ht="12.75">
      <c r="A49" s="343">
        <f t="shared" si="6"/>
        <v>43</v>
      </c>
      <c r="B49" s="379"/>
      <c r="C49" s="448"/>
      <c r="D49" s="348" t="s">
        <v>285</v>
      </c>
      <c r="E49" s="404"/>
      <c r="F49" s="376"/>
      <c r="G49" s="377" t="e">
        <f aca="true" t="shared" si="8" ref="G49:L49">G50</f>
        <v>#REF!</v>
      </c>
      <c r="H49" s="378">
        <f t="shared" si="8"/>
        <v>155204</v>
      </c>
      <c r="I49" s="378">
        <f t="shared" si="8"/>
        <v>20000</v>
      </c>
      <c r="J49" s="378">
        <f t="shared" si="8"/>
        <v>60000</v>
      </c>
      <c r="K49" s="378">
        <f t="shared" si="8"/>
        <v>60000</v>
      </c>
      <c r="L49" s="378">
        <f t="shared" si="8"/>
        <v>0</v>
      </c>
    </row>
    <row r="50" spans="1:12" ht="12.75">
      <c r="A50" s="343">
        <f t="shared" si="6"/>
        <v>44</v>
      </c>
      <c r="B50" s="379"/>
      <c r="C50" s="380" t="s">
        <v>237</v>
      </c>
      <c r="D50" s="381" t="s">
        <v>276</v>
      </c>
      <c r="E50" s="382"/>
      <c r="F50" s="383"/>
      <c r="G50" s="449" t="e">
        <f>SUM(#REF!)</f>
        <v>#REF!</v>
      </c>
      <c r="H50" s="450">
        <f>SUM(H51:H52)</f>
        <v>155204</v>
      </c>
      <c r="I50" s="450">
        <f>SUM(I51:I52)</f>
        <v>20000</v>
      </c>
      <c r="J50" s="450">
        <f>SUM(J51:J52)</f>
        <v>60000</v>
      </c>
      <c r="K50" s="450">
        <f>SUM(K51:K52)</f>
        <v>60000</v>
      </c>
      <c r="L50" s="450">
        <f>SUM(L51:L52)</f>
        <v>0</v>
      </c>
    </row>
    <row r="51" spans="1:12" s="443" customFormat="1" ht="11.25">
      <c r="A51" s="343">
        <f t="shared" si="6"/>
        <v>45</v>
      </c>
      <c r="B51" s="379"/>
      <c r="C51" s="387" t="s">
        <v>286</v>
      </c>
      <c r="D51" s="432" t="s">
        <v>287</v>
      </c>
      <c r="E51" s="420" t="s">
        <v>288</v>
      </c>
      <c r="F51" s="451"/>
      <c r="G51" s="452"/>
      <c r="H51" s="453">
        <f>výdavky!D472</f>
        <v>0</v>
      </c>
      <c r="I51" s="453">
        <f>výdavky!E472</f>
        <v>0</v>
      </c>
      <c r="J51" s="453">
        <f>výdavky!F472</f>
        <v>0</v>
      </c>
      <c r="K51" s="453">
        <f>výdavky!G472</f>
        <v>0</v>
      </c>
      <c r="L51" s="453">
        <f>výdavky!H472</f>
        <v>0</v>
      </c>
    </row>
    <row r="52" spans="1:12" s="443" customFormat="1" ht="11.25">
      <c r="A52" s="343">
        <f t="shared" si="6"/>
        <v>46</v>
      </c>
      <c r="B52" s="379"/>
      <c r="C52" s="387" t="s">
        <v>289</v>
      </c>
      <c r="D52" s="437" t="s">
        <v>290</v>
      </c>
      <c r="E52" s="424" t="s">
        <v>291</v>
      </c>
      <c r="F52" s="427"/>
      <c r="G52" s="454"/>
      <c r="H52" s="455">
        <f>výdavky!D473</f>
        <v>155204</v>
      </c>
      <c r="I52" s="455">
        <f>výdavky!E473</f>
        <v>20000</v>
      </c>
      <c r="J52" s="455">
        <f>výdavky!F473</f>
        <v>60000</v>
      </c>
      <c r="K52" s="455">
        <f>výdavky!G473</f>
        <v>60000</v>
      </c>
      <c r="L52" s="455">
        <f>výdavky!H473</f>
        <v>0</v>
      </c>
    </row>
    <row r="53" spans="1:12" ht="12.75">
      <c r="A53" s="343">
        <v>43</v>
      </c>
      <c r="B53" s="456">
        <v>4</v>
      </c>
      <c r="C53" s="457" t="s">
        <v>292</v>
      </c>
      <c r="D53" s="360"/>
      <c r="E53" s="360"/>
      <c r="F53" s="361"/>
      <c r="G53" s="362">
        <f>SUM(G55)</f>
        <v>413.9</v>
      </c>
      <c r="H53" s="364">
        <f>SUM(H54)</f>
        <v>12815</v>
      </c>
      <c r="I53" s="364">
        <f>SUM(I54)</f>
        <v>6229.24</v>
      </c>
      <c r="J53" s="364">
        <f>SUM(J54)</f>
        <v>12715</v>
      </c>
      <c r="K53" s="364">
        <f>SUM(K54)</f>
        <v>12471</v>
      </c>
      <c r="L53" s="364">
        <f>SUM(L54)</f>
        <v>0</v>
      </c>
    </row>
    <row r="54" spans="1:12" ht="12.75">
      <c r="A54" s="343">
        <v>49</v>
      </c>
      <c r="B54" s="458"/>
      <c r="C54" s="448"/>
      <c r="D54" s="347" t="s">
        <v>230</v>
      </c>
      <c r="E54" s="375"/>
      <c r="F54" s="376"/>
      <c r="G54" s="377">
        <f aca="true" t="shared" si="9" ref="G54:L54">G55</f>
        <v>413.9</v>
      </c>
      <c r="H54" s="378">
        <f t="shared" si="9"/>
        <v>12815</v>
      </c>
      <c r="I54" s="378">
        <f t="shared" si="9"/>
        <v>6229.24</v>
      </c>
      <c r="J54" s="378">
        <f t="shared" si="9"/>
        <v>12715</v>
      </c>
      <c r="K54" s="378">
        <f t="shared" si="9"/>
        <v>12471</v>
      </c>
      <c r="L54" s="378">
        <f t="shared" si="9"/>
        <v>0</v>
      </c>
    </row>
    <row r="55" spans="1:12" ht="12.75">
      <c r="A55" s="343">
        <f aca="true" t="shared" si="10" ref="A55:A61">A54+1</f>
        <v>50</v>
      </c>
      <c r="B55" s="379"/>
      <c r="C55" s="459" t="s">
        <v>293</v>
      </c>
      <c r="D55" s="415" t="s">
        <v>294</v>
      </c>
      <c r="E55" s="382"/>
      <c r="F55" s="383"/>
      <c r="G55" s="417">
        <f>SUM(G56:G61)</f>
        <v>413.9</v>
      </c>
      <c r="H55" s="385">
        <f>H56+H57+H58+H59+H60+H61</f>
        <v>12815</v>
      </c>
      <c r="I55" s="385">
        <f>SUM(I56:I61)</f>
        <v>6229.24</v>
      </c>
      <c r="J55" s="385">
        <f>SUM(J56:J61)</f>
        <v>12715</v>
      </c>
      <c r="K55" s="385">
        <f>SUM(K56:K61)</f>
        <v>12471</v>
      </c>
      <c r="L55" s="385">
        <f>SUM(L56:L61)</f>
        <v>0</v>
      </c>
    </row>
    <row r="56" spans="1:12" ht="12.75">
      <c r="A56" s="343">
        <f t="shared" si="10"/>
        <v>51</v>
      </c>
      <c r="B56" s="379"/>
      <c r="C56" s="438" t="s">
        <v>239</v>
      </c>
      <c r="D56" s="432" t="s">
        <v>266</v>
      </c>
      <c r="E56" s="389" t="s">
        <v>295</v>
      </c>
      <c r="F56" s="433"/>
      <c r="G56" s="439">
        <f aca="true" t="shared" si="11" ref="G56:G61">ROUND(K56/30.126,1)</f>
        <v>298.9</v>
      </c>
      <c r="H56" s="392">
        <f>výdavky!D80+výdavky!D81</f>
        <v>9000</v>
      </c>
      <c r="I56" s="392">
        <f>výdavky!E80+výdavky!E81</f>
        <v>4367.74</v>
      </c>
      <c r="J56" s="392">
        <f>výdavky!F80</f>
        <v>9000</v>
      </c>
      <c r="K56" s="392">
        <f>výdavky!G80</f>
        <v>9006</v>
      </c>
      <c r="L56" s="392">
        <f>výdavky!H80</f>
        <v>0</v>
      </c>
    </row>
    <row r="57" spans="1:12" ht="12.75">
      <c r="A57" s="343">
        <f t="shared" si="10"/>
        <v>52</v>
      </c>
      <c r="B57" s="379"/>
      <c r="C57" s="438" t="s">
        <v>241</v>
      </c>
      <c r="D57" s="437" t="s">
        <v>268</v>
      </c>
      <c r="E57" s="398" t="s">
        <v>296</v>
      </c>
      <c r="F57" s="405"/>
      <c r="G57" s="406">
        <f t="shared" si="11"/>
        <v>102.9</v>
      </c>
      <c r="H57" s="397">
        <f>výdavky!D82</f>
        <v>3200</v>
      </c>
      <c r="I57" s="397">
        <f>výdavky!E82</f>
        <v>1609.34</v>
      </c>
      <c r="J57" s="397">
        <f>výdavky!F82</f>
        <v>3200</v>
      </c>
      <c r="K57" s="397">
        <f>výdavky!G82</f>
        <v>3100</v>
      </c>
      <c r="L57" s="397">
        <f>výdavky!H82</f>
        <v>0</v>
      </c>
    </row>
    <row r="58" spans="1:12" ht="12.75">
      <c r="A58" s="343">
        <f t="shared" si="10"/>
        <v>53</v>
      </c>
      <c r="B58" s="379"/>
      <c r="C58" s="438" t="s">
        <v>277</v>
      </c>
      <c r="D58" s="432" t="s">
        <v>279</v>
      </c>
      <c r="E58" s="389" t="s">
        <v>297</v>
      </c>
      <c r="F58" s="433"/>
      <c r="G58" s="439">
        <f t="shared" si="11"/>
        <v>0.5</v>
      </c>
      <c r="H58" s="392">
        <f>výdavky!D84</f>
        <v>15</v>
      </c>
      <c r="I58" s="392">
        <f>výdavky!E84</f>
        <v>3.7</v>
      </c>
      <c r="J58" s="392">
        <f>výdavky!F84</f>
        <v>15</v>
      </c>
      <c r="K58" s="392">
        <f>výdavky!G84</f>
        <v>15</v>
      </c>
      <c r="L58" s="392">
        <f>výdavky!H84</f>
        <v>0</v>
      </c>
    </row>
    <row r="59" spans="1:12" ht="12.75">
      <c r="A59" s="343">
        <f t="shared" si="10"/>
        <v>54</v>
      </c>
      <c r="B59" s="379"/>
      <c r="C59" s="438" t="s">
        <v>277</v>
      </c>
      <c r="D59" s="437" t="s">
        <v>281</v>
      </c>
      <c r="E59" s="394" t="s">
        <v>298</v>
      </c>
      <c r="F59" s="425"/>
      <c r="G59" s="406">
        <f t="shared" si="11"/>
        <v>8.3</v>
      </c>
      <c r="H59" s="397">
        <f>výdavky!D85</f>
        <v>400</v>
      </c>
      <c r="I59" s="397">
        <f>výdavky!E85</f>
        <v>178.86</v>
      </c>
      <c r="J59" s="397">
        <f>výdavky!F85</f>
        <v>400</v>
      </c>
      <c r="K59" s="397">
        <f>výdavky!G85</f>
        <v>250</v>
      </c>
      <c r="L59" s="397">
        <f>výdavky!H85</f>
        <v>0</v>
      </c>
    </row>
    <row r="60" spans="1:12" ht="12.75">
      <c r="A60" s="343">
        <f t="shared" si="10"/>
        <v>55</v>
      </c>
      <c r="B60" s="379"/>
      <c r="C60" s="438" t="s">
        <v>277</v>
      </c>
      <c r="D60" s="432" t="s">
        <v>283</v>
      </c>
      <c r="E60" s="460" t="s">
        <v>299</v>
      </c>
      <c r="F60" s="421"/>
      <c r="G60" s="439">
        <f t="shared" si="11"/>
        <v>0</v>
      </c>
      <c r="H60" s="392">
        <f>výdavky!D88</f>
        <v>0</v>
      </c>
      <c r="I60" s="392">
        <f>výdavky!E88</f>
        <v>0</v>
      </c>
      <c r="J60" s="392">
        <f>výdavky!F88</f>
        <v>0</v>
      </c>
      <c r="K60" s="392">
        <f>výdavky!G88</f>
        <v>0</v>
      </c>
      <c r="L60" s="392">
        <f>výdavky!H88</f>
        <v>0</v>
      </c>
    </row>
    <row r="61" spans="1:12" ht="12.75">
      <c r="A61" s="343">
        <f t="shared" si="10"/>
        <v>56</v>
      </c>
      <c r="B61" s="379"/>
      <c r="C61" s="438" t="s">
        <v>277</v>
      </c>
      <c r="D61" s="437" t="s">
        <v>287</v>
      </c>
      <c r="E61" s="394" t="s">
        <v>256</v>
      </c>
      <c r="F61" s="425"/>
      <c r="G61" s="406">
        <f t="shared" si="11"/>
        <v>3.3</v>
      </c>
      <c r="H61" s="397">
        <f>výdavky!D89</f>
        <v>200</v>
      </c>
      <c r="I61" s="397">
        <f>výdavky!E89</f>
        <v>69.6</v>
      </c>
      <c r="J61" s="397">
        <f>výdavky!F89</f>
        <v>100</v>
      </c>
      <c r="K61" s="397">
        <f>výdavky!G89</f>
        <v>100</v>
      </c>
      <c r="L61" s="397">
        <f>výdavky!H89</f>
        <v>0</v>
      </c>
    </row>
    <row r="62" spans="1:12" ht="12.75">
      <c r="A62" s="343">
        <v>57</v>
      </c>
      <c r="B62" s="358">
        <v>5</v>
      </c>
      <c r="C62" s="461" t="s">
        <v>300</v>
      </c>
      <c r="D62" s="360"/>
      <c r="E62" s="360"/>
      <c r="F62" s="462"/>
      <c r="G62" s="362">
        <v>0</v>
      </c>
      <c r="H62" s="364">
        <f aca="true" t="shared" si="12" ref="H62:L63">H63</f>
        <v>10000</v>
      </c>
      <c r="I62" s="364">
        <f t="shared" si="12"/>
        <v>6640.08</v>
      </c>
      <c r="J62" s="364">
        <f t="shared" si="12"/>
        <v>10000</v>
      </c>
      <c r="K62" s="364">
        <f t="shared" si="12"/>
        <v>8595</v>
      </c>
      <c r="L62" s="364">
        <f t="shared" si="12"/>
        <v>0</v>
      </c>
    </row>
    <row r="63" spans="1:12" ht="12.75">
      <c r="A63" s="343">
        <f>A62+1</f>
        <v>58</v>
      </c>
      <c r="B63" s="373"/>
      <c r="C63" s="374"/>
      <c r="D63" s="348" t="s">
        <v>230</v>
      </c>
      <c r="E63" s="375"/>
      <c r="F63" s="376"/>
      <c r="G63" s="377">
        <f>G64</f>
        <v>0</v>
      </c>
      <c r="H63" s="378">
        <f t="shared" si="12"/>
        <v>10000</v>
      </c>
      <c r="I63" s="378">
        <f t="shared" si="12"/>
        <v>6640.08</v>
      </c>
      <c r="J63" s="378">
        <f t="shared" si="12"/>
        <v>10000</v>
      </c>
      <c r="K63" s="378">
        <f t="shared" si="12"/>
        <v>8595</v>
      </c>
      <c r="L63" s="378">
        <f t="shared" si="12"/>
        <v>0</v>
      </c>
    </row>
    <row r="64" spans="1:12" ht="12.75">
      <c r="A64" s="343">
        <f>A63+1</f>
        <v>59</v>
      </c>
      <c r="B64" s="373"/>
      <c r="C64" s="463" t="s">
        <v>301</v>
      </c>
      <c r="D64" s="415" t="s">
        <v>302</v>
      </c>
      <c r="E64" s="382"/>
      <c r="F64" s="416"/>
      <c r="G64" s="417">
        <f>SUM(G65:G65)</f>
        <v>0</v>
      </c>
      <c r="H64" s="385">
        <f>SUM(H65:H66)</f>
        <v>10000</v>
      </c>
      <c r="I64" s="385">
        <f>SUM(I65:I66)</f>
        <v>6640.08</v>
      </c>
      <c r="J64" s="385">
        <f>SUM(J65:J66)</f>
        <v>10000</v>
      </c>
      <c r="K64" s="385">
        <f>SUM(K65:K66)</f>
        <v>8595</v>
      </c>
      <c r="L64" s="385">
        <f>SUM(L65:L66)</f>
        <v>0</v>
      </c>
    </row>
    <row r="65" spans="1:12" ht="12.75">
      <c r="A65" s="343">
        <f>A64+1</f>
        <v>60</v>
      </c>
      <c r="B65" s="373"/>
      <c r="C65" s="464">
        <v>630</v>
      </c>
      <c r="D65" s="423">
        <v>1</v>
      </c>
      <c r="E65" s="465" t="s">
        <v>303</v>
      </c>
      <c r="F65" s="466"/>
      <c r="G65" s="467"/>
      <c r="H65" s="455">
        <f>SUM(výdavky!D9)</f>
        <v>10000</v>
      </c>
      <c r="I65" s="455">
        <f>SUM(výdavky!E9,výdavky!E10,výdavky!E22,výdavky!E28,výdavky!E31,výdavky!E58,výdavky!E64)</f>
        <v>6640.08</v>
      </c>
      <c r="J65" s="455">
        <f>SUM(výdavky!F9,výdavky!F10,výdavky!F22,výdavky!F28,výdavky!F31,výdavky!F58,výdavky!F64)</f>
        <v>10000</v>
      </c>
      <c r="K65" s="455">
        <f>výdavky!G9+výdavky!G10+výdavky!G15+výdavky!G28+výdavky!G31+výdavky!G58+výdavky!G64</f>
        <v>8595</v>
      </c>
      <c r="L65" s="455">
        <v>0</v>
      </c>
    </row>
    <row r="66" spans="1:12" ht="12.75">
      <c r="A66" s="468">
        <f>A65+1</f>
        <v>61</v>
      </c>
      <c r="B66" s="469"/>
      <c r="C66" s="470">
        <v>630</v>
      </c>
      <c r="D66" s="471">
        <v>2</v>
      </c>
      <c r="E66" s="472" t="s">
        <v>304</v>
      </c>
      <c r="F66" s="473"/>
      <c r="G66" s="474"/>
      <c r="H66" s="475">
        <v>0</v>
      </c>
      <c r="I66" s="475">
        <v>0</v>
      </c>
      <c r="J66" s="475">
        <v>0</v>
      </c>
      <c r="K66" s="475">
        <v>0</v>
      </c>
      <c r="L66" s="475">
        <v>0</v>
      </c>
    </row>
  </sheetData>
  <sheetProtection/>
  <mergeCells count="2">
    <mergeCell ref="G3:L3"/>
    <mergeCell ref="D4:F6"/>
  </mergeCells>
  <printOptions/>
  <pageMargins left="0.5902777777777778" right="0.19652777777777777" top="0.5902777777777778" bottom="0.39375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3.57421875" style="0" customWidth="1"/>
    <col min="2" max="2" width="4.140625" style="0" customWidth="1"/>
    <col min="4" max="4" width="3.421875" style="0" customWidth="1"/>
    <col min="5" max="5" width="31.140625" style="0" customWidth="1"/>
    <col min="6" max="6" width="11.8515625" style="0" customWidth="1"/>
    <col min="7" max="7" width="0" style="0" hidden="1" customWidth="1"/>
    <col min="10" max="10" width="8.421875" style="0" customWidth="1"/>
  </cols>
  <sheetData>
    <row r="1" spans="1:12" ht="15.75">
      <c r="A1" s="306"/>
      <c r="B1" s="310" t="s">
        <v>305</v>
      </c>
      <c r="E1" s="310" t="s">
        <v>306</v>
      </c>
      <c r="F1" s="308"/>
      <c r="G1" s="476" t="e">
        <f>G2-G7</f>
        <v>#REF!</v>
      </c>
      <c r="H1" s="476"/>
      <c r="I1" s="476"/>
      <c r="J1" s="477">
        <f>J2-J7</f>
        <v>0</v>
      </c>
      <c r="K1" s="477">
        <f>K2-K7</f>
        <v>0</v>
      </c>
      <c r="L1" s="477">
        <f>L2-L7</f>
        <v>0</v>
      </c>
    </row>
    <row r="2" spans="1:12" ht="15.75">
      <c r="A2" s="306"/>
      <c r="B2" s="310"/>
      <c r="G2" s="478" t="e">
        <f>SUM(G8:G10)</f>
        <v>#REF!</v>
      </c>
      <c r="H2" s="478"/>
      <c r="I2" s="478"/>
      <c r="J2" s="318">
        <f>SUM(J8:J10)</f>
        <v>1000</v>
      </c>
      <c r="K2" s="318">
        <f>SUM(K8:K10)</f>
        <v>1042</v>
      </c>
      <c r="L2" s="318">
        <f>SUM(L8:L10)</f>
        <v>0</v>
      </c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2.75">
      <c r="A4" s="324"/>
      <c r="B4" s="325" t="s">
        <v>216</v>
      </c>
      <c r="C4" s="326" t="s">
        <v>217</v>
      </c>
      <c r="D4" s="1260" t="s">
        <v>218</v>
      </c>
      <c r="E4" s="1260"/>
      <c r="F4" s="1260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2.75">
      <c r="A5" s="324"/>
      <c r="B5" s="325" t="s">
        <v>221</v>
      </c>
      <c r="C5" s="326" t="s">
        <v>222</v>
      </c>
      <c r="D5" s="1260"/>
      <c r="E5" s="1260"/>
      <c r="F5" s="1260"/>
      <c r="G5" s="330" t="s">
        <v>223</v>
      </c>
      <c r="H5" s="331" t="s">
        <v>224</v>
      </c>
      <c r="I5" s="332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479"/>
      <c r="B6" s="480" t="s">
        <v>226</v>
      </c>
      <c r="C6" s="481" t="s">
        <v>227</v>
      </c>
      <c r="D6" s="1260"/>
      <c r="E6" s="1260"/>
      <c r="F6" s="1260"/>
      <c r="G6" s="482">
        <v>1</v>
      </c>
      <c r="H6" s="483">
        <v>0</v>
      </c>
      <c r="I6" s="484">
        <v>1</v>
      </c>
      <c r="J6" s="334">
        <v>2</v>
      </c>
      <c r="K6" s="335">
        <v>3</v>
      </c>
      <c r="L6" s="335">
        <v>4</v>
      </c>
    </row>
    <row r="7" spans="1:12" ht="15">
      <c r="A7" s="343">
        <v>1</v>
      </c>
      <c r="B7" s="485" t="s">
        <v>305</v>
      </c>
      <c r="C7" s="486"/>
      <c r="D7" s="487"/>
      <c r="E7" s="488" t="s">
        <v>306</v>
      </c>
      <c r="F7" s="489"/>
      <c r="G7" s="490" t="e">
        <f>G11+#REF!</f>
        <v>#REF!</v>
      </c>
      <c r="H7" s="491">
        <f>SUM(H8:H10)</f>
        <v>1100</v>
      </c>
      <c r="I7" s="342">
        <f>SUM(I8:I10)</f>
        <v>296.83</v>
      </c>
      <c r="J7" s="342">
        <f>SUM(J8:J10)</f>
        <v>1000</v>
      </c>
      <c r="K7" s="342">
        <f>SUM(K8:K10)</f>
        <v>1042</v>
      </c>
      <c r="L7" s="342">
        <f>SUM(L8:L10)</f>
        <v>0</v>
      </c>
    </row>
    <row r="8" spans="1:12" ht="12.75">
      <c r="A8" s="343">
        <f aca="true" t="shared" si="0" ref="A8:A14">A7+1</f>
        <v>2</v>
      </c>
      <c r="B8" s="492" t="s">
        <v>229</v>
      </c>
      <c r="C8" s="345" t="s">
        <v>230</v>
      </c>
      <c r="D8" s="346"/>
      <c r="E8" s="347"/>
      <c r="F8" s="348"/>
      <c r="G8" s="493" t="e">
        <f>G12+#REF!</f>
        <v>#REF!</v>
      </c>
      <c r="H8" s="494">
        <f>SUM(H12)</f>
        <v>1100</v>
      </c>
      <c r="I8" s="495">
        <f>SUM(I12)</f>
        <v>296.83</v>
      </c>
      <c r="J8" s="495">
        <f>SUM(J12)</f>
        <v>1000</v>
      </c>
      <c r="K8" s="495">
        <f>SUM(K12)</f>
        <v>1042</v>
      </c>
      <c r="L8" s="495">
        <f>SUM(L12)</f>
        <v>0</v>
      </c>
    </row>
    <row r="9" spans="1:12" ht="12.75">
      <c r="A9" s="343">
        <f t="shared" si="0"/>
        <v>3</v>
      </c>
      <c r="B9" s="492" t="s">
        <v>231</v>
      </c>
      <c r="C9" s="345" t="s">
        <v>232</v>
      </c>
      <c r="D9" s="346"/>
      <c r="E9" s="347"/>
      <c r="F9" s="348"/>
      <c r="G9" s="493" t="e">
        <f>#REF!</f>
        <v>#REF!</v>
      </c>
      <c r="H9" s="496">
        <v>0</v>
      </c>
      <c r="I9" s="495">
        <v>0</v>
      </c>
      <c r="J9" s="495">
        <v>0</v>
      </c>
      <c r="K9" s="495">
        <v>0</v>
      </c>
      <c r="L9" s="495">
        <v>0</v>
      </c>
    </row>
    <row r="10" spans="1:12" ht="12.75">
      <c r="A10" s="343">
        <f t="shared" si="0"/>
        <v>4</v>
      </c>
      <c r="B10" s="497"/>
      <c r="C10" s="352" t="s">
        <v>233</v>
      </c>
      <c r="D10" s="353"/>
      <c r="E10" s="354"/>
      <c r="F10" s="355"/>
      <c r="G10" s="498">
        <v>0</v>
      </c>
      <c r="H10" s="499">
        <v>0</v>
      </c>
      <c r="I10" s="500">
        <v>0</v>
      </c>
      <c r="J10" s="500">
        <v>0</v>
      </c>
      <c r="K10" s="500">
        <v>0</v>
      </c>
      <c r="L10" s="500">
        <v>0</v>
      </c>
    </row>
    <row r="11" spans="1:12" ht="12.75">
      <c r="A11" s="343">
        <f t="shared" si="0"/>
        <v>5</v>
      </c>
      <c r="B11" s="501">
        <v>1</v>
      </c>
      <c r="C11" s="461" t="s">
        <v>307</v>
      </c>
      <c r="D11" s="360"/>
      <c r="E11" s="360"/>
      <c r="F11" s="361"/>
      <c r="G11" s="362" t="e">
        <f>SUM(G13)+#REF!</f>
        <v>#REF!</v>
      </c>
      <c r="H11" s="502">
        <f aca="true" t="shared" si="1" ref="H11:L12">H12</f>
        <v>1100</v>
      </c>
      <c r="I11" s="364">
        <f t="shared" si="1"/>
        <v>296.83</v>
      </c>
      <c r="J11" s="364">
        <f t="shared" si="1"/>
        <v>1000</v>
      </c>
      <c r="K11" s="364">
        <f t="shared" si="1"/>
        <v>1042</v>
      </c>
      <c r="L11" s="364">
        <f t="shared" si="1"/>
        <v>0</v>
      </c>
    </row>
    <row r="12" spans="1:12" ht="12.75">
      <c r="A12" s="343">
        <f t="shared" si="0"/>
        <v>6</v>
      </c>
      <c r="B12" s="503"/>
      <c r="C12" s="374"/>
      <c r="D12" s="348" t="s">
        <v>230</v>
      </c>
      <c r="E12" s="375"/>
      <c r="F12" s="376"/>
      <c r="G12" s="377" t="e">
        <f>G13</f>
        <v>#REF!</v>
      </c>
      <c r="H12" s="504">
        <f t="shared" si="1"/>
        <v>1100</v>
      </c>
      <c r="I12" s="378">
        <f t="shared" si="1"/>
        <v>296.83</v>
      </c>
      <c r="J12" s="378">
        <f t="shared" si="1"/>
        <v>1000</v>
      </c>
      <c r="K12" s="378">
        <f t="shared" si="1"/>
        <v>1042</v>
      </c>
      <c r="L12" s="378">
        <f t="shared" si="1"/>
        <v>0</v>
      </c>
    </row>
    <row r="13" spans="1:12" ht="12.75">
      <c r="A13" s="343">
        <f t="shared" si="0"/>
        <v>7</v>
      </c>
      <c r="B13" s="505"/>
      <c r="C13" s="506" t="s">
        <v>308</v>
      </c>
      <c r="D13" s="415" t="s">
        <v>307</v>
      </c>
      <c r="E13" s="507"/>
      <c r="F13" s="508"/>
      <c r="G13" s="417" t="e">
        <f>SUM(#REF!)</f>
        <v>#REF!</v>
      </c>
      <c r="H13" s="509">
        <f>SUM(H14:H16)</f>
        <v>1100</v>
      </c>
      <c r="I13" s="385">
        <f>SUM(I14:I16)</f>
        <v>296.83</v>
      </c>
      <c r="J13" s="385">
        <f>SUM(J14:J16)</f>
        <v>1000</v>
      </c>
      <c r="K13" s="385">
        <f>SUM(K14:K16)</f>
        <v>1042</v>
      </c>
      <c r="L13" s="385">
        <f>SUM(L14:L16)</f>
        <v>0</v>
      </c>
    </row>
    <row r="14" spans="1:12" ht="12.75">
      <c r="A14" s="343">
        <f t="shared" si="0"/>
        <v>8</v>
      </c>
      <c r="B14" s="505"/>
      <c r="C14" s="436" t="s">
        <v>245</v>
      </c>
      <c r="D14" s="510" t="s">
        <v>266</v>
      </c>
      <c r="E14" s="394" t="s">
        <v>309</v>
      </c>
      <c r="F14" s="425"/>
      <c r="G14" s="426"/>
      <c r="H14" s="511">
        <f>výdavky!D101</f>
        <v>250</v>
      </c>
      <c r="I14" s="397">
        <f>výdavky!E101</f>
        <v>56.83</v>
      </c>
      <c r="J14" s="397">
        <f>výdavky!F101</f>
        <v>200</v>
      </c>
      <c r="K14" s="397">
        <f>výdavky!G101</f>
        <v>200</v>
      </c>
      <c r="L14" s="397">
        <f>výdavky!H101</f>
        <v>0</v>
      </c>
    </row>
    <row r="15" spans="1:12" ht="12.75">
      <c r="A15" s="343">
        <v>9</v>
      </c>
      <c r="B15" s="505"/>
      <c r="C15" s="436" t="s">
        <v>255</v>
      </c>
      <c r="D15" s="437" t="s">
        <v>268</v>
      </c>
      <c r="E15" s="394" t="s">
        <v>256</v>
      </c>
      <c r="F15" s="425"/>
      <c r="G15" s="426"/>
      <c r="H15" s="511">
        <f>SUM(výdavky!D102)</f>
        <v>600</v>
      </c>
      <c r="I15" s="397">
        <f>SUM(výdavky!E102)</f>
        <v>240</v>
      </c>
      <c r="J15" s="397">
        <f>SUM(výdavky!F102)</f>
        <v>600</v>
      </c>
      <c r="K15" s="397">
        <f>výdavky!G102</f>
        <v>600</v>
      </c>
      <c r="L15" s="397"/>
    </row>
    <row r="16" spans="1:12" ht="12.75">
      <c r="A16" s="468">
        <v>10</v>
      </c>
      <c r="B16" s="512"/>
      <c r="C16" s="513" t="s">
        <v>255</v>
      </c>
      <c r="D16" s="514" t="s">
        <v>279</v>
      </c>
      <c r="E16" s="515" t="s">
        <v>310</v>
      </c>
      <c r="F16" s="516"/>
      <c r="G16" s="517"/>
      <c r="H16" s="518">
        <f>výdavky!D103</f>
        <v>250</v>
      </c>
      <c r="I16" s="519">
        <f>výdavky!E103</f>
        <v>0</v>
      </c>
      <c r="J16" s="519">
        <f>výdavky!F103</f>
        <v>200</v>
      </c>
      <c r="K16" s="519">
        <f>výdavky!G103</f>
        <v>242</v>
      </c>
      <c r="L16" s="519">
        <f>výdavky!H103</f>
        <v>0</v>
      </c>
    </row>
  </sheetData>
  <sheetProtection/>
  <mergeCells count="2">
    <mergeCell ref="G3:L3"/>
    <mergeCell ref="D4:F6"/>
  </mergeCells>
  <printOptions/>
  <pageMargins left="0.5902777777777778" right="0.19652777777777777" top="0.5902777777777778" bottom="0.39375" header="0.5118055555555556" footer="0.5118055555555556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">
      <selection activeCell="D37" sqref="D37"/>
    </sheetView>
  </sheetViews>
  <sheetFormatPr defaultColWidth="9.140625" defaultRowHeight="12.75"/>
  <cols>
    <col min="1" max="1" width="3.57421875" style="306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0" style="0" hidden="1" customWidth="1"/>
    <col min="10" max="12" width="7.28125" style="0" customWidth="1"/>
  </cols>
  <sheetData>
    <row r="1" spans="1:12" ht="15.75">
      <c r="A1" s="379"/>
      <c r="B1" s="520" t="s">
        <v>311</v>
      </c>
      <c r="C1" s="307"/>
      <c r="D1" s="307"/>
      <c r="E1" s="521" t="s">
        <v>312</v>
      </c>
      <c r="F1" s="307"/>
      <c r="G1" s="522" t="e">
        <f>G2-G7</f>
        <v>#REF!</v>
      </c>
      <c r="H1" s="522"/>
      <c r="I1" s="522"/>
      <c r="J1" s="523">
        <f>J2-J7</f>
        <v>0</v>
      </c>
      <c r="K1" s="523">
        <f>K2-K7</f>
        <v>0</v>
      </c>
      <c r="L1" s="523">
        <f>L2-L7</f>
        <v>0</v>
      </c>
    </row>
    <row r="2" spans="1:12" ht="15.75">
      <c r="A2" s="379"/>
      <c r="B2" s="520"/>
      <c r="C2" s="307"/>
      <c r="D2" s="307"/>
      <c r="E2" s="307"/>
      <c r="F2" s="307"/>
      <c r="G2" s="476" t="e">
        <f>SUM(G8:G10)</f>
        <v>#REF!</v>
      </c>
      <c r="H2" s="476"/>
      <c r="I2" s="476"/>
      <c r="J2" s="524">
        <f>SUM(J8:J10)</f>
        <v>66330</v>
      </c>
      <c r="K2" s="524">
        <f>SUM(K8:K10)</f>
        <v>81051</v>
      </c>
      <c r="L2" s="524">
        <f>SUM(L8:L10)</f>
        <v>0</v>
      </c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2.75" customHeight="1">
      <c r="A4" s="324"/>
      <c r="B4" s="325" t="s">
        <v>216</v>
      </c>
      <c r="C4" s="326" t="s">
        <v>217</v>
      </c>
      <c r="D4" s="1259" t="s">
        <v>218</v>
      </c>
      <c r="E4" s="1259"/>
      <c r="F4" s="1259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1.25" customHeight="1">
      <c r="A5" s="324"/>
      <c r="B5" s="325" t="s">
        <v>221</v>
      </c>
      <c r="C5" s="326" t="s">
        <v>222</v>
      </c>
      <c r="D5" s="1259"/>
      <c r="E5" s="1259"/>
      <c r="F5" s="1259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324"/>
      <c r="B6" s="325" t="s">
        <v>226</v>
      </c>
      <c r="C6" s="326" t="s">
        <v>227</v>
      </c>
      <c r="D6" s="1259"/>
      <c r="E6" s="1259"/>
      <c r="F6" s="1259"/>
      <c r="G6" s="333">
        <v>1</v>
      </c>
      <c r="H6" s="333">
        <v>0</v>
      </c>
      <c r="I6" s="333">
        <v>1</v>
      </c>
      <c r="J6" s="334">
        <v>2</v>
      </c>
      <c r="K6" s="335">
        <v>3</v>
      </c>
      <c r="L6" s="335">
        <v>4</v>
      </c>
    </row>
    <row r="7" spans="1:12" ht="15">
      <c r="A7" s="336">
        <v>1</v>
      </c>
      <c r="B7" s="525" t="s">
        <v>311</v>
      </c>
      <c r="C7" s="526"/>
      <c r="D7" s="527"/>
      <c r="E7" s="339" t="s">
        <v>312</v>
      </c>
      <c r="F7" s="528"/>
      <c r="G7" s="341" t="e">
        <f>G11+#REF!+#REF!+#REF!+#REF!+#REF!+G28+#REF!</f>
        <v>#REF!</v>
      </c>
      <c r="H7" s="342">
        <f>SUM(H8:H10)</f>
        <v>57680</v>
      </c>
      <c r="I7" s="342">
        <f>SUM(I8:I10)</f>
        <v>32383.709999999995</v>
      </c>
      <c r="J7" s="342">
        <f>SUM(J8:J10)</f>
        <v>66330</v>
      </c>
      <c r="K7" s="342">
        <f>SUM(K8:K10)</f>
        <v>81051</v>
      </c>
      <c r="L7" s="342">
        <f>SUM(L8:L10)</f>
        <v>0</v>
      </c>
    </row>
    <row r="8" spans="1:12" ht="12.75">
      <c r="A8" s="343">
        <f aca="true" t="shared" si="0" ref="A8:A17">A7+1</f>
        <v>2</v>
      </c>
      <c r="B8" s="344" t="s">
        <v>229</v>
      </c>
      <c r="C8" s="345" t="s">
        <v>230</v>
      </c>
      <c r="D8" s="346"/>
      <c r="E8" s="347"/>
      <c r="F8" s="348"/>
      <c r="G8" s="493" t="e">
        <f>G12+#REF!+#REF!+#REF!+#REF!+#REF!+#REF!+G29</f>
        <v>#REF!</v>
      </c>
      <c r="H8" s="495">
        <f>SUM(H12,H29)</f>
        <v>57680</v>
      </c>
      <c r="I8" s="495">
        <f>SUM(I12,I29)</f>
        <v>32383.709999999995</v>
      </c>
      <c r="J8" s="495">
        <f>SUM(J12,J29)</f>
        <v>66330</v>
      </c>
      <c r="K8" s="495">
        <f>SUM(K12,K29)</f>
        <v>77551</v>
      </c>
      <c r="L8" s="495">
        <f>SUM(L12,L29)</f>
        <v>0</v>
      </c>
    </row>
    <row r="9" spans="1:12" ht="12.75">
      <c r="A9" s="343">
        <f t="shared" si="0"/>
        <v>3</v>
      </c>
      <c r="B9" s="344" t="s">
        <v>231</v>
      </c>
      <c r="C9" s="345" t="s">
        <v>232</v>
      </c>
      <c r="D9" s="346"/>
      <c r="E9" s="347"/>
      <c r="F9" s="348"/>
      <c r="G9" s="493" t="e">
        <f>'Program 1'!#REF!+#REF!+#REF!</f>
        <v>#REF!</v>
      </c>
      <c r="H9" s="495">
        <f>H25</f>
        <v>0</v>
      </c>
      <c r="I9" s="495">
        <f>I25</f>
        <v>0</v>
      </c>
      <c r="J9" s="495">
        <f>J25</f>
        <v>0</v>
      </c>
      <c r="K9" s="495">
        <f>K25</f>
        <v>3500</v>
      </c>
      <c r="L9" s="495">
        <f>L25</f>
        <v>0</v>
      </c>
    </row>
    <row r="10" spans="1:12" ht="12.75">
      <c r="A10" s="343">
        <f t="shared" si="0"/>
        <v>4</v>
      </c>
      <c r="B10" s="351"/>
      <c r="C10" s="352" t="s">
        <v>233</v>
      </c>
      <c r="D10" s="353"/>
      <c r="E10" s="354"/>
      <c r="F10" s="355"/>
      <c r="G10" s="498" t="e">
        <f>#REF!</f>
        <v>#REF!</v>
      </c>
      <c r="H10" s="495">
        <v>0</v>
      </c>
      <c r="I10" s="500">
        <v>0</v>
      </c>
      <c r="J10" s="494">
        <v>0</v>
      </c>
      <c r="K10" s="500">
        <v>0</v>
      </c>
      <c r="L10" s="495">
        <v>0</v>
      </c>
    </row>
    <row r="11" spans="1:12" ht="12.75">
      <c r="A11" s="343">
        <f t="shared" si="0"/>
        <v>5</v>
      </c>
      <c r="B11" s="456">
        <v>1</v>
      </c>
      <c r="C11" s="457" t="s">
        <v>313</v>
      </c>
      <c r="D11" s="360"/>
      <c r="E11" s="360"/>
      <c r="F11" s="361"/>
      <c r="G11" s="362" t="e">
        <f>G13+G26+#REF!</f>
        <v>#REF!</v>
      </c>
      <c r="H11" s="363">
        <f>SUM(H12+H25)</f>
        <v>53630</v>
      </c>
      <c r="I11" s="502">
        <f>SUM(I12+I25)</f>
        <v>27327.009999999995</v>
      </c>
      <c r="J11" s="363">
        <f>SUM(J12+J25)</f>
        <v>53580</v>
      </c>
      <c r="K11" s="502">
        <f>SUM(K12+K25)</f>
        <v>67181</v>
      </c>
      <c r="L11" s="363">
        <f>SUM(L12+L25)</f>
        <v>0</v>
      </c>
    </row>
    <row r="12" spans="1:12" s="413" customFormat="1" ht="12.75">
      <c r="A12" s="343">
        <f t="shared" si="0"/>
        <v>6</v>
      </c>
      <c r="B12" s="458"/>
      <c r="C12" s="448"/>
      <c r="D12" s="347" t="s">
        <v>230</v>
      </c>
      <c r="E12" s="375"/>
      <c r="F12" s="376"/>
      <c r="G12" s="377">
        <f aca="true" t="shared" si="1" ref="G12:L12">G13</f>
        <v>2072.6</v>
      </c>
      <c r="H12" s="378">
        <f t="shared" si="1"/>
        <v>53630</v>
      </c>
      <c r="I12" s="504">
        <f t="shared" si="1"/>
        <v>27327.009999999995</v>
      </c>
      <c r="J12" s="378">
        <f t="shared" si="1"/>
        <v>53580</v>
      </c>
      <c r="K12" s="504">
        <f t="shared" si="1"/>
        <v>63681</v>
      </c>
      <c r="L12" s="378">
        <f t="shared" si="1"/>
        <v>0</v>
      </c>
    </row>
    <row r="13" spans="1:12" ht="12.75">
      <c r="A13" s="343">
        <f t="shared" si="0"/>
        <v>7</v>
      </c>
      <c r="B13" s="379"/>
      <c r="C13" s="529" t="s">
        <v>314</v>
      </c>
      <c r="D13" s="415" t="s">
        <v>315</v>
      </c>
      <c r="E13" s="382"/>
      <c r="F13" s="383"/>
      <c r="G13" s="417">
        <f>SUM(G14:G21)</f>
        <v>2072.6</v>
      </c>
      <c r="H13" s="385">
        <f>SUM(H14,H15,H16,H17,H18,H19,H20,H21,H23)</f>
        <v>53630</v>
      </c>
      <c r="I13" s="530">
        <f>SUM(I14,I15,I16,I17,I18,I19,I20,I21,I23)</f>
        <v>27327.009999999995</v>
      </c>
      <c r="J13" s="385">
        <f>SUM(J14,J15,J16,J17,J18,J19,J20,J21,J23)</f>
        <v>53580</v>
      </c>
      <c r="K13" s="530">
        <f>SUM(K14,K15,K16,K17,K18,K19,K20,K21,K22,K23)</f>
        <v>63681</v>
      </c>
      <c r="L13" s="385">
        <f>SUM(L14,L15,L16,L17,L18,L19,L20,L21,L23)</f>
        <v>0</v>
      </c>
    </row>
    <row r="14" spans="1:12" ht="12.75">
      <c r="A14" s="343">
        <f t="shared" si="0"/>
        <v>8</v>
      </c>
      <c r="B14" s="379"/>
      <c r="C14" s="438" t="s">
        <v>239</v>
      </c>
      <c r="D14" s="432" t="s">
        <v>266</v>
      </c>
      <c r="E14" s="531" t="s">
        <v>295</v>
      </c>
      <c r="F14" s="433"/>
      <c r="G14" s="439">
        <f aca="true" t="shared" si="2" ref="G14:G21">ROUND(K14/30.126,1)</f>
        <v>1098.7</v>
      </c>
      <c r="H14" s="392">
        <f>výdavky!D111</f>
        <v>32500</v>
      </c>
      <c r="I14" s="532">
        <f>výdavky!E111</f>
        <v>16161.19</v>
      </c>
      <c r="J14" s="392">
        <f>výdavky!F111</f>
        <v>32500</v>
      </c>
      <c r="K14" s="532">
        <f>výdavky!G111</f>
        <v>33100</v>
      </c>
      <c r="L14" s="392">
        <f>výdavky!H111</f>
        <v>0</v>
      </c>
    </row>
    <row r="15" spans="1:12" ht="12.75">
      <c r="A15" s="343">
        <f t="shared" si="0"/>
        <v>9</v>
      </c>
      <c r="B15" s="379"/>
      <c r="C15" s="438" t="s">
        <v>241</v>
      </c>
      <c r="D15" s="437" t="s">
        <v>268</v>
      </c>
      <c r="E15" s="533" t="s">
        <v>242</v>
      </c>
      <c r="F15" s="405"/>
      <c r="G15" s="406">
        <f t="shared" si="2"/>
        <v>401.6</v>
      </c>
      <c r="H15" s="397">
        <f>výdavky!D112</f>
        <v>12000</v>
      </c>
      <c r="I15" s="511">
        <f>výdavky!E112</f>
        <v>6009.63</v>
      </c>
      <c r="J15" s="397">
        <f>výdavky!F112</f>
        <v>12000</v>
      </c>
      <c r="K15" s="511">
        <f>výdavky!G112</f>
        <v>12100</v>
      </c>
      <c r="L15" s="397">
        <f>výdavky!H112</f>
        <v>0</v>
      </c>
    </row>
    <row r="16" spans="1:12" ht="12.75">
      <c r="A16" s="343">
        <f t="shared" si="0"/>
        <v>10</v>
      </c>
      <c r="B16" s="379"/>
      <c r="C16" s="438" t="s">
        <v>243</v>
      </c>
      <c r="D16" s="432" t="s">
        <v>279</v>
      </c>
      <c r="E16" s="531" t="s">
        <v>316</v>
      </c>
      <c r="F16" s="433"/>
      <c r="G16" s="439">
        <f t="shared" si="2"/>
        <v>2</v>
      </c>
      <c r="H16" s="392">
        <f>výdavky!D113</f>
        <v>60</v>
      </c>
      <c r="I16" s="532">
        <f>výdavky!E113</f>
        <v>0</v>
      </c>
      <c r="J16" s="392">
        <f>výdavky!F113</f>
        <v>60</v>
      </c>
      <c r="K16" s="532">
        <f>výdavky!G113</f>
        <v>60</v>
      </c>
      <c r="L16" s="392">
        <f>výdavky!H113</f>
        <v>0</v>
      </c>
    </row>
    <row r="17" spans="1:12" ht="12.75">
      <c r="A17" s="343">
        <f t="shared" si="0"/>
        <v>11</v>
      </c>
      <c r="B17" s="379"/>
      <c r="C17" s="438" t="s">
        <v>245</v>
      </c>
      <c r="D17" s="437" t="s">
        <v>281</v>
      </c>
      <c r="E17" s="533" t="s">
        <v>246</v>
      </c>
      <c r="F17" s="405"/>
      <c r="G17" s="406">
        <f t="shared" si="2"/>
        <v>63.1</v>
      </c>
      <c r="H17" s="397">
        <f>výdavky!D114</f>
        <v>1500</v>
      </c>
      <c r="I17" s="511">
        <f>výdavky!E114</f>
        <v>788.94</v>
      </c>
      <c r="J17" s="397">
        <f>výdavky!F114</f>
        <v>1500</v>
      </c>
      <c r="K17" s="511">
        <f>výdavky!G114</f>
        <v>1900</v>
      </c>
      <c r="L17" s="397">
        <f>výdavky!H114</f>
        <v>0</v>
      </c>
    </row>
    <row r="18" spans="1:12" ht="12.75">
      <c r="A18" s="343">
        <v>12</v>
      </c>
      <c r="B18" s="379"/>
      <c r="C18" s="438" t="s">
        <v>247</v>
      </c>
      <c r="D18" s="432" t="s">
        <v>283</v>
      </c>
      <c r="E18" s="531" t="s">
        <v>317</v>
      </c>
      <c r="F18" s="433"/>
      <c r="G18" s="439">
        <f t="shared" si="2"/>
        <v>178.6</v>
      </c>
      <c r="H18" s="392">
        <f>výdavky!D115</f>
        <v>1150</v>
      </c>
      <c r="I18" s="532">
        <f>výdavky!E115</f>
        <v>2215.05</v>
      </c>
      <c r="J18" s="392">
        <f>výdavky!F115</f>
        <v>2350</v>
      </c>
      <c r="K18" s="532">
        <f>výdavky!G115</f>
        <v>5380</v>
      </c>
      <c r="L18" s="392">
        <f>výdavky!H115</f>
        <v>0</v>
      </c>
    </row>
    <row r="19" spans="1:12" ht="12.75">
      <c r="A19" s="343">
        <f>A18+1</f>
        <v>13</v>
      </c>
      <c r="B19" s="379"/>
      <c r="C19" s="438" t="s">
        <v>249</v>
      </c>
      <c r="D19" s="437" t="s">
        <v>287</v>
      </c>
      <c r="E19" s="533" t="s">
        <v>318</v>
      </c>
      <c r="F19" s="405"/>
      <c r="G19" s="406">
        <f t="shared" si="2"/>
        <v>159.3</v>
      </c>
      <c r="H19" s="397">
        <f>výdavky!D121</f>
        <v>5500</v>
      </c>
      <c r="I19" s="511">
        <f>výdavky!E121</f>
        <v>1883.6</v>
      </c>
      <c r="J19" s="397">
        <f>výdavky!F121</f>
        <v>4600</v>
      </c>
      <c r="K19" s="511">
        <f>výdavky!G121</f>
        <v>4800</v>
      </c>
      <c r="L19" s="397">
        <f>výdavky!H121</f>
        <v>0</v>
      </c>
    </row>
    <row r="20" spans="1:12" ht="12.75">
      <c r="A20" s="343">
        <f>A19+1</f>
        <v>14</v>
      </c>
      <c r="B20" s="379"/>
      <c r="C20" s="438" t="s">
        <v>251</v>
      </c>
      <c r="D20" s="432" t="s">
        <v>290</v>
      </c>
      <c r="E20" s="531" t="s">
        <v>319</v>
      </c>
      <c r="F20" s="433"/>
      <c r="G20" s="439">
        <f t="shared" si="2"/>
        <v>53.1</v>
      </c>
      <c r="H20" s="392">
        <f>výdavky!D125</f>
        <v>500</v>
      </c>
      <c r="I20" s="532">
        <f>výdavky!E125</f>
        <v>0</v>
      </c>
      <c r="J20" s="392">
        <f>výdavky!F125</f>
        <v>200</v>
      </c>
      <c r="K20" s="532">
        <f>výdavky!G125</f>
        <v>1600</v>
      </c>
      <c r="L20" s="392">
        <f>výdavky!H125</f>
        <v>0</v>
      </c>
    </row>
    <row r="21" spans="1:12" ht="12.75">
      <c r="A21" s="343">
        <f>A20+1</f>
        <v>15</v>
      </c>
      <c r="B21" s="379"/>
      <c r="C21" s="438" t="s">
        <v>255</v>
      </c>
      <c r="D21" s="437" t="s">
        <v>320</v>
      </c>
      <c r="E21" s="533" t="s">
        <v>321</v>
      </c>
      <c r="F21" s="405"/>
      <c r="G21" s="406">
        <f t="shared" si="2"/>
        <v>116.2</v>
      </c>
      <c r="H21" s="397">
        <f>výdavky!D126</f>
        <v>350</v>
      </c>
      <c r="I21" s="511">
        <f>výdavky!E126</f>
        <v>268.6</v>
      </c>
      <c r="J21" s="397">
        <f>výdavky!F126</f>
        <v>300</v>
      </c>
      <c r="K21" s="511">
        <f>výdavky!G126</f>
        <v>3500</v>
      </c>
      <c r="L21" s="397">
        <f>výdavky!H126</f>
        <v>0</v>
      </c>
    </row>
    <row r="22" spans="1:12" ht="12.75">
      <c r="A22" s="343"/>
      <c r="B22" s="379"/>
      <c r="C22" s="438" t="s">
        <v>255</v>
      </c>
      <c r="D22" s="437" t="s">
        <v>322</v>
      </c>
      <c r="E22" s="533" t="s">
        <v>323</v>
      </c>
      <c r="F22" s="405"/>
      <c r="G22" s="406"/>
      <c r="H22" s="397"/>
      <c r="I22" s="511"/>
      <c r="J22" s="397"/>
      <c r="K22" s="511">
        <f>výdavky!G128</f>
        <v>1175</v>
      </c>
      <c r="L22" s="397"/>
    </row>
    <row r="23" spans="1:12" ht="12.75">
      <c r="A23" s="343">
        <v>16</v>
      </c>
      <c r="B23" s="379"/>
      <c r="C23" s="438" t="s">
        <v>265</v>
      </c>
      <c r="D23" s="437" t="s">
        <v>324</v>
      </c>
      <c r="E23" s="533" t="s">
        <v>325</v>
      </c>
      <c r="F23" s="405"/>
      <c r="G23" s="406">
        <f>ROUND(K23/30.126,1)</f>
        <v>2.2</v>
      </c>
      <c r="H23" s="397">
        <f>výdavky!D127</f>
        <v>70</v>
      </c>
      <c r="I23" s="511">
        <f>výdavky!E127</f>
        <v>0</v>
      </c>
      <c r="J23" s="397">
        <f>výdavky!F127</f>
        <v>70</v>
      </c>
      <c r="K23" s="511">
        <f>výdavky!G127</f>
        <v>66</v>
      </c>
      <c r="L23" s="397">
        <f>výdavky!H127</f>
        <v>0</v>
      </c>
    </row>
    <row r="24" spans="1:12" ht="12.75">
      <c r="A24" s="343"/>
      <c r="B24" s="534">
        <v>2</v>
      </c>
      <c r="C24" s="1261" t="s">
        <v>326</v>
      </c>
      <c r="D24" s="1261"/>
      <c r="E24" s="1261"/>
      <c r="F24" s="535"/>
      <c r="G24" s="536"/>
      <c r="H24" s="537">
        <f>SUM(H25)</f>
        <v>0</v>
      </c>
      <c r="I24" s="538">
        <f>SUM(I25)</f>
        <v>0</v>
      </c>
      <c r="J24" s="537">
        <f>SUM(J25)</f>
        <v>0</v>
      </c>
      <c r="K24" s="538">
        <f>SUM(K25)</f>
        <v>3500</v>
      </c>
      <c r="L24" s="537">
        <f>SUM(L25)</f>
        <v>0</v>
      </c>
    </row>
    <row r="25" spans="1:12" ht="12.75">
      <c r="A25" s="343">
        <v>17</v>
      </c>
      <c r="B25" s="539"/>
      <c r="C25" s="540"/>
      <c r="D25" s="347" t="s">
        <v>232</v>
      </c>
      <c r="E25" s="375"/>
      <c r="F25" s="376"/>
      <c r="G25" s="377" t="e">
        <f>'Program 3'!#REF!</f>
        <v>#REF!</v>
      </c>
      <c r="H25" s="378">
        <f aca="true" t="shared" si="3" ref="H25:L26">H26</f>
        <v>0</v>
      </c>
      <c r="I25" s="504">
        <f t="shared" si="3"/>
        <v>0</v>
      </c>
      <c r="J25" s="378">
        <f t="shared" si="3"/>
        <v>0</v>
      </c>
      <c r="K25" s="504">
        <f t="shared" si="3"/>
        <v>3500</v>
      </c>
      <c r="L25" s="378">
        <f t="shared" si="3"/>
        <v>0</v>
      </c>
    </row>
    <row r="26" spans="1:12" ht="12.75">
      <c r="A26" s="343">
        <f>A25+1</f>
        <v>18</v>
      </c>
      <c r="B26" s="379"/>
      <c r="C26" s="529" t="s">
        <v>314</v>
      </c>
      <c r="D26" s="415" t="s">
        <v>315</v>
      </c>
      <c r="E26" s="382"/>
      <c r="F26" s="383"/>
      <c r="G26" s="430">
        <f>SUM(G27:G27)</f>
        <v>116.2</v>
      </c>
      <c r="H26" s="431">
        <f t="shared" si="3"/>
        <v>0</v>
      </c>
      <c r="I26" s="541">
        <f t="shared" si="3"/>
        <v>0</v>
      </c>
      <c r="J26" s="431">
        <f t="shared" si="3"/>
        <v>0</v>
      </c>
      <c r="K26" s="541">
        <f t="shared" si="3"/>
        <v>3500</v>
      </c>
      <c r="L26" s="431">
        <f t="shared" si="3"/>
        <v>0</v>
      </c>
    </row>
    <row r="27" spans="1:12" ht="12.75">
      <c r="A27" s="343">
        <f>A26+1</f>
        <v>19</v>
      </c>
      <c r="B27" s="379"/>
      <c r="C27" s="438" t="s">
        <v>327</v>
      </c>
      <c r="D27" s="437" t="s">
        <v>266</v>
      </c>
      <c r="E27" s="533" t="s">
        <v>329</v>
      </c>
      <c r="F27" s="405"/>
      <c r="G27" s="406">
        <f>ROUND(K27/30.126,1)</f>
        <v>116.2</v>
      </c>
      <c r="H27" s="397">
        <v>0</v>
      </c>
      <c r="I27" s="511">
        <f>výdavky!E424</f>
        <v>0</v>
      </c>
      <c r="J27" s="397">
        <f>výdavky!F424</f>
        <v>0</v>
      </c>
      <c r="K27" s="511">
        <f>výdavky!G424</f>
        <v>3500</v>
      </c>
      <c r="L27" s="397">
        <f>výdavky!H424</f>
        <v>0</v>
      </c>
    </row>
    <row r="28" spans="1:12" ht="12.75">
      <c r="A28" s="343">
        <v>20</v>
      </c>
      <c r="B28" s="456">
        <v>3</v>
      </c>
      <c r="C28" s="457" t="s">
        <v>330</v>
      </c>
      <c r="D28" s="360"/>
      <c r="E28" s="360"/>
      <c r="F28" s="361"/>
      <c r="G28" s="362">
        <f>SUM(G30)</f>
        <v>161.7</v>
      </c>
      <c r="H28" s="364">
        <f aca="true" t="shared" si="4" ref="H28:L29">H29</f>
        <v>4050</v>
      </c>
      <c r="I28" s="502">
        <f t="shared" si="4"/>
        <v>5056.7</v>
      </c>
      <c r="J28" s="364">
        <f t="shared" si="4"/>
        <v>12750</v>
      </c>
      <c r="K28" s="502">
        <f t="shared" si="4"/>
        <v>13870</v>
      </c>
      <c r="L28" s="364">
        <f t="shared" si="4"/>
        <v>0</v>
      </c>
    </row>
    <row r="29" spans="1:12" s="413" customFormat="1" ht="12.75">
      <c r="A29" s="343">
        <f aca="true" t="shared" si="5" ref="A29:A35">A28+1</f>
        <v>21</v>
      </c>
      <c r="B29" s="458"/>
      <c r="C29" s="448"/>
      <c r="D29" s="347" t="s">
        <v>230</v>
      </c>
      <c r="E29" s="375"/>
      <c r="F29" s="376"/>
      <c r="G29" s="377">
        <f>G30</f>
        <v>161.7</v>
      </c>
      <c r="H29" s="378">
        <f t="shared" si="4"/>
        <v>4050</v>
      </c>
      <c r="I29" s="504">
        <f t="shared" si="4"/>
        <v>5056.7</v>
      </c>
      <c r="J29" s="378">
        <f t="shared" si="4"/>
        <v>12750</v>
      </c>
      <c r="K29" s="504">
        <f t="shared" si="4"/>
        <v>13870</v>
      </c>
      <c r="L29" s="378">
        <f t="shared" si="4"/>
        <v>0</v>
      </c>
    </row>
    <row r="30" spans="1:12" ht="12.75">
      <c r="A30" s="343">
        <f t="shared" si="5"/>
        <v>22</v>
      </c>
      <c r="B30" s="379"/>
      <c r="C30" s="529" t="s">
        <v>331</v>
      </c>
      <c r="D30" s="415" t="s">
        <v>332</v>
      </c>
      <c r="E30" s="507"/>
      <c r="F30" s="508"/>
      <c r="G30" s="417">
        <f>SUM(G31:G35)</f>
        <v>161.7</v>
      </c>
      <c r="H30" s="385">
        <f>SUM(H31:H35)</f>
        <v>4050</v>
      </c>
      <c r="I30" s="530">
        <f>SUM(I31:I35)+I36</f>
        <v>5056.7</v>
      </c>
      <c r="J30" s="385">
        <f>SUM(J31:J35)+J36</f>
        <v>12750</v>
      </c>
      <c r="K30" s="530">
        <f>SUM(K31:K35)+K36</f>
        <v>13870</v>
      </c>
      <c r="L30" s="385">
        <f>SUM(L31:L35)</f>
        <v>0</v>
      </c>
    </row>
    <row r="31" spans="1:12" ht="12.75">
      <c r="A31" s="343">
        <f t="shared" si="5"/>
        <v>23</v>
      </c>
      <c r="B31" s="386"/>
      <c r="C31" s="438" t="s">
        <v>245</v>
      </c>
      <c r="D31" s="542">
        <v>1</v>
      </c>
      <c r="E31" s="398" t="s">
        <v>333</v>
      </c>
      <c r="F31" s="405"/>
      <c r="G31" s="406">
        <f>ROUND(K31/30.126,1)</f>
        <v>102.9</v>
      </c>
      <c r="H31" s="397">
        <f>výdavky!D131</f>
        <v>2300</v>
      </c>
      <c r="I31" s="511">
        <f>výdavky!E131</f>
        <v>1689.8</v>
      </c>
      <c r="J31" s="397">
        <f>výdavky!F131</f>
        <v>2000</v>
      </c>
      <c r="K31" s="511">
        <f>výdavky!G131</f>
        <v>3100</v>
      </c>
      <c r="L31" s="397">
        <f>výdavky!H131</f>
        <v>0</v>
      </c>
    </row>
    <row r="32" spans="1:12" ht="12.75">
      <c r="A32" s="343">
        <f t="shared" si="5"/>
        <v>24</v>
      </c>
      <c r="B32" s="386"/>
      <c r="C32" s="438" t="s">
        <v>247</v>
      </c>
      <c r="D32" s="543">
        <v>2</v>
      </c>
      <c r="E32" s="389" t="s">
        <v>248</v>
      </c>
      <c r="F32" s="433"/>
      <c r="G32" s="439">
        <f>ROUND(K32/30.126,1)</f>
        <v>1.7</v>
      </c>
      <c r="H32" s="392">
        <f>výdavky!D132</f>
        <v>500</v>
      </c>
      <c r="I32" s="532">
        <f>výdavky!E132</f>
        <v>0</v>
      </c>
      <c r="J32" s="392">
        <f>výdavky!F132</f>
        <v>0</v>
      </c>
      <c r="K32" s="532">
        <f>výdavky!G132</f>
        <v>50</v>
      </c>
      <c r="L32" s="392">
        <f>výdavky!H132</f>
        <v>0</v>
      </c>
    </row>
    <row r="33" spans="1:12" ht="12.75">
      <c r="A33" s="343">
        <f t="shared" si="5"/>
        <v>25</v>
      </c>
      <c r="B33" s="386"/>
      <c r="C33" s="438" t="s">
        <v>249</v>
      </c>
      <c r="D33" s="542">
        <v>3</v>
      </c>
      <c r="E33" s="398" t="s">
        <v>318</v>
      </c>
      <c r="F33" s="405"/>
      <c r="G33" s="406">
        <f>ROUND(K33/30.126,1)</f>
        <v>23.9</v>
      </c>
      <c r="H33" s="397">
        <f>výdavky!D138</f>
        <v>700</v>
      </c>
      <c r="I33" s="511">
        <f>výdavky!E138</f>
        <v>467.91</v>
      </c>
      <c r="J33" s="397">
        <f>výdavky!F138</f>
        <v>700</v>
      </c>
      <c r="K33" s="511">
        <f>výdavky!G138</f>
        <v>720</v>
      </c>
      <c r="L33" s="397">
        <f>výdavky!H138</f>
        <v>0</v>
      </c>
    </row>
    <row r="34" spans="1:12" ht="12.75">
      <c r="A34" s="343">
        <f t="shared" si="5"/>
        <v>26</v>
      </c>
      <c r="B34" s="386"/>
      <c r="C34" s="438" t="s">
        <v>251</v>
      </c>
      <c r="D34" s="544">
        <v>4</v>
      </c>
      <c r="E34" s="545" t="s">
        <v>334</v>
      </c>
      <c r="F34" s="546"/>
      <c r="G34" s="547">
        <f>ROUND(K34/30.126,1)</f>
        <v>0</v>
      </c>
      <c r="H34" s="403">
        <f>výdavky!D142</f>
        <v>50</v>
      </c>
      <c r="I34" s="548">
        <f>výdavky!E142</f>
        <v>0</v>
      </c>
      <c r="J34" s="403">
        <f>výdavky!F142</f>
        <v>50</v>
      </c>
      <c r="K34" s="548">
        <f>výdavky!G142</f>
        <v>0</v>
      </c>
      <c r="L34" s="403">
        <f>výdavky!H142</f>
        <v>0</v>
      </c>
    </row>
    <row r="35" spans="1:12" ht="12.75">
      <c r="A35" s="549">
        <f t="shared" si="5"/>
        <v>27</v>
      </c>
      <c r="B35" s="550"/>
      <c r="C35" s="551" t="s">
        <v>255</v>
      </c>
      <c r="D35" s="552">
        <v>5</v>
      </c>
      <c r="E35" s="553" t="s">
        <v>335</v>
      </c>
      <c r="F35" s="554"/>
      <c r="G35" s="555">
        <f>ROUND(K35/30.126,1)</f>
        <v>33.2</v>
      </c>
      <c r="H35" s="556">
        <f>výdavky!D144</f>
        <v>500</v>
      </c>
      <c r="I35" s="557">
        <f>výdavky!E144</f>
        <v>898.99</v>
      </c>
      <c r="J35" s="556">
        <f>výdavky!F144</f>
        <v>1000</v>
      </c>
      <c r="K35" s="557">
        <f>výdavky!G144</f>
        <v>1000</v>
      </c>
      <c r="L35" s="556">
        <f>výdavky!H144</f>
        <v>0</v>
      </c>
    </row>
    <row r="36" spans="1:12" ht="12.75">
      <c r="A36" s="468">
        <v>28</v>
      </c>
      <c r="B36" s="558"/>
      <c r="C36" s="559">
        <v>642</v>
      </c>
      <c r="D36" s="560">
        <v>6</v>
      </c>
      <c r="E36" s="561" t="s">
        <v>336</v>
      </c>
      <c r="F36" s="562"/>
      <c r="G36" s="563"/>
      <c r="H36" s="564">
        <v>0</v>
      </c>
      <c r="I36" s="565">
        <f>SUM(výdavky!E145)</f>
        <v>2000</v>
      </c>
      <c r="J36" s="566">
        <f>SUM(výdavky!F145)</f>
        <v>9000</v>
      </c>
      <c r="K36" s="567">
        <f>výdavky!G145</f>
        <v>9000</v>
      </c>
      <c r="L36" s="564"/>
    </row>
    <row r="37" ht="12.75">
      <c r="F37" s="307"/>
    </row>
  </sheetData>
  <sheetProtection/>
  <mergeCells count="3">
    <mergeCell ref="G3:L3"/>
    <mergeCell ref="D4:F6"/>
    <mergeCell ref="C24:E24"/>
  </mergeCells>
  <printOptions/>
  <pageMargins left="0.7875" right="0.19652777777777777" top="0.5902777777777778" bottom="0.39375" header="0.5118055555555556" footer="0.5118055555555556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.8515625" style="306" customWidth="1"/>
    <col min="2" max="2" width="4.140625" style="1" customWidth="1"/>
    <col min="3" max="3" width="8.00390625" style="0" customWidth="1"/>
    <col min="4" max="4" width="3.421875" style="0" customWidth="1"/>
    <col min="5" max="5" width="31.57421875" style="0" customWidth="1"/>
    <col min="6" max="6" width="8.8515625" style="0" customWidth="1"/>
    <col min="7" max="7" width="0" style="0" hidden="1" customWidth="1"/>
    <col min="10" max="12" width="8.421875" style="0" customWidth="1"/>
  </cols>
  <sheetData>
    <row r="1" spans="1:12" ht="15.75">
      <c r="A1" s="310" t="s">
        <v>337</v>
      </c>
      <c r="D1" s="310" t="s">
        <v>338</v>
      </c>
      <c r="E1" s="308"/>
      <c r="F1" s="308"/>
      <c r="G1" s="476" t="e">
        <f>G2-G7</f>
        <v>#REF!</v>
      </c>
      <c r="H1" s="476"/>
      <c r="I1" s="476"/>
      <c r="J1" s="477">
        <f>J2-J7</f>
        <v>0</v>
      </c>
      <c r="K1" s="477">
        <f>K2-K7</f>
        <v>0</v>
      </c>
      <c r="L1" s="477">
        <f>L2-L7</f>
        <v>0</v>
      </c>
    </row>
    <row r="2" spans="2:12" ht="15.75">
      <c r="B2" s="310"/>
      <c r="G2" s="478" t="e">
        <f>SUM(G8:G10)</f>
        <v>#REF!</v>
      </c>
      <c r="H2" s="478"/>
      <c r="I2" s="478"/>
      <c r="J2" s="318">
        <f>SUM(J8:J10)</f>
        <v>121320</v>
      </c>
      <c r="K2" s="318">
        <f>SUM(K8:K10)</f>
        <v>129120</v>
      </c>
      <c r="L2" s="318">
        <f>SUM(L8:L10)</f>
        <v>0</v>
      </c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5.75" customHeight="1">
      <c r="A4" s="324"/>
      <c r="B4" s="325" t="s">
        <v>216</v>
      </c>
      <c r="C4" s="326" t="s">
        <v>217</v>
      </c>
      <c r="D4" s="1260" t="s">
        <v>218</v>
      </c>
      <c r="E4" s="1260"/>
      <c r="F4" s="1260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2" customHeight="1">
      <c r="A5" s="324"/>
      <c r="B5" s="325" t="s">
        <v>221</v>
      </c>
      <c r="C5" s="326" t="s">
        <v>222</v>
      </c>
      <c r="D5" s="1260"/>
      <c r="E5" s="1260"/>
      <c r="F5" s="1260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479"/>
      <c r="B6" s="480" t="s">
        <v>226</v>
      </c>
      <c r="C6" s="481" t="s">
        <v>227</v>
      </c>
      <c r="D6" s="1260"/>
      <c r="E6" s="1260"/>
      <c r="F6" s="1260"/>
      <c r="G6" s="482">
        <v>1</v>
      </c>
      <c r="H6" s="333">
        <v>0</v>
      </c>
      <c r="I6" s="333">
        <v>1</v>
      </c>
      <c r="J6" s="334">
        <v>2</v>
      </c>
      <c r="K6" s="335">
        <v>3</v>
      </c>
      <c r="L6" s="335">
        <v>4</v>
      </c>
    </row>
    <row r="7" spans="1:12" ht="15">
      <c r="A7" s="336">
        <v>1</v>
      </c>
      <c r="B7" s="337" t="s">
        <v>339</v>
      </c>
      <c r="C7" s="338"/>
      <c r="D7" s="527"/>
      <c r="E7" s="339" t="s">
        <v>338</v>
      </c>
      <c r="F7" s="528"/>
      <c r="G7" s="568" t="e">
        <f>G11+G19</f>
        <v>#REF!</v>
      </c>
      <c r="H7" s="342">
        <f>SUM(H8:H10)</f>
        <v>123570</v>
      </c>
      <c r="I7" s="342">
        <f>SUM(I8:I10)</f>
        <v>41822.87000000001</v>
      </c>
      <c r="J7" s="342">
        <f>SUM(J8:J10)</f>
        <v>121320</v>
      </c>
      <c r="K7" s="342">
        <f>SUM(K8:K10)</f>
        <v>129120</v>
      </c>
      <c r="L7" s="342">
        <f>SUM(L8:L10)</f>
        <v>0</v>
      </c>
    </row>
    <row r="8" spans="1:12" ht="12.75">
      <c r="A8" s="343">
        <f aca="true" t="shared" si="0" ref="A8:A13">A7+1</f>
        <v>2</v>
      </c>
      <c r="B8" s="344" t="s">
        <v>229</v>
      </c>
      <c r="C8" s="345" t="s">
        <v>230</v>
      </c>
      <c r="D8" s="346"/>
      <c r="E8" s="347"/>
      <c r="F8" s="348"/>
      <c r="G8" s="493" t="e">
        <f>G12+#REF!</f>
        <v>#REF!</v>
      </c>
      <c r="H8" s="495">
        <f>SUM(H12,H24,H34,H29)</f>
        <v>123570</v>
      </c>
      <c r="I8" s="495">
        <f>SUM(I12,I24,I34,I29)</f>
        <v>41822.87000000001</v>
      </c>
      <c r="J8" s="495">
        <f>SUM(J12,J24,J29,J34)</f>
        <v>121320</v>
      </c>
      <c r="K8" s="495">
        <f>SUM(K12,K24,K34,K29)</f>
        <v>129120</v>
      </c>
      <c r="L8" s="495">
        <f>SUM(L12,L24,L34,L29)</f>
        <v>0</v>
      </c>
    </row>
    <row r="9" spans="1:12" ht="12.75">
      <c r="A9" s="343">
        <f t="shared" si="0"/>
        <v>3</v>
      </c>
      <c r="B9" s="344" t="s">
        <v>231</v>
      </c>
      <c r="C9" s="345" t="s">
        <v>232</v>
      </c>
      <c r="D9" s="346"/>
      <c r="E9" s="347"/>
      <c r="F9" s="348"/>
      <c r="G9" s="493" t="e">
        <f>G20</f>
        <v>#REF!</v>
      </c>
      <c r="H9" s="495">
        <f>SUM(H20,H44)</f>
        <v>0</v>
      </c>
      <c r="I9" s="495">
        <f>SUM(I20,I44)</f>
        <v>0</v>
      </c>
      <c r="J9" s="495">
        <f>SUM(J20,J44)</f>
        <v>0</v>
      </c>
      <c r="K9" s="495">
        <f>SUM(K20,K44)</f>
        <v>0</v>
      </c>
      <c r="L9" s="495">
        <f>SUM(L20,L44)</f>
        <v>0</v>
      </c>
    </row>
    <row r="10" spans="1:12" ht="12.75">
      <c r="A10" s="343">
        <f t="shared" si="0"/>
        <v>4</v>
      </c>
      <c r="B10" s="351"/>
      <c r="C10" s="352" t="s">
        <v>233</v>
      </c>
      <c r="D10" s="353"/>
      <c r="E10" s="354"/>
      <c r="F10" s="355"/>
      <c r="G10" s="498">
        <v>0</v>
      </c>
      <c r="H10" s="500">
        <v>0</v>
      </c>
      <c r="I10" s="500">
        <v>0</v>
      </c>
      <c r="J10" s="569">
        <v>0</v>
      </c>
      <c r="K10" s="500">
        <v>0</v>
      </c>
      <c r="L10" s="500">
        <v>0</v>
      </c>
    </row>
    <row r="11" spans="1:12" ht="12.75">
      <c r="A11" s="343">
        <f t="shared" si="0"/>
        <v>5</v>
      </c>
      <c r="B11" s="456">
        <v>1</v>
      </c>
      <c r="C11" s="457" t="s">
        <v>340</v>
      </c>
      <c r="D11" s="360"/>
      <c r="E11" s="360"/>
      <c r="F11" s="361"/>
      <c r="G11" s="362">
        <f>G13</f>
        <v>54.8</v>
      </c>
      <c r="H11" s="364">
        <f aca="true" t="shared" si="1" ref="H11:L12">H12</f>
        <v>14600</v>
      </c>
      <c r="I11" s="364">
        <f t="shared" si="1"/>
        <v>6749.52</v>
      </c>
      <c r="J11" s="364">
        <f t="shared" si="1"/>
        <v>13050</v>
      </c>
      <c r="K11" s="364">
        <f t="shared" si="1"/>
        <v>12250</v>
      </c>
      <c r="L11" s="364">
        <f t="shared" si="1"/>
        <v>0</v>
      </c>
    </row>
    <row r="12" spans="1:12" s="413" customFormat="1" ht="12.75">
      <c r="A12" s="343">
        <f t="shared" si="0"/>
        <v>6</v>
      </c>
      <c r="B12" s="458"/>
      <c r="C12" s="448"/>
      <c r="D12" s="348" t="s">
        <v>230</v>
      </c>
      <c r="E12" s="375"/>
      <c r="F12" s="376"/>
      <c r="G12" s="377">
        <f>G13</f>
        <v>54.8</v>
      </c>
      <c r="H12" s="378">
        <f t="shared" si="1"/>
        <v>14600</v>
      </c>
      <c r="I12" s="378">
        <f t="shared" si="1"/>
        <v>6749.52</v>
      </c>
      <c r="J12" s="570">
        <f t="shared" si="1"/>
        <v>13050</v>
      </c>
      <c r="K12" s="378">
        <f t="shared" si="1"/>
        <v>12250</v>
      </c>
      <c r="L12" s="378">
        <f t="shared" si="1"/>
        <v>0</v>
      </c>
    </row>
    <row r="13" spans="1:12" ht="12.75">
      <c r="A13" s="343">
        <f t="shared" si="0"/>
        <v>7</v>
      </c>
      <c r="B13" s="379"/>
      <c r="C13" s="459" t="s">
        <v>341</v>
      </c>
      <c r="D13" s="415" t="s">
        <v>342</v>
      </c>
      <c r="E13" s="382"/>
      <c r="F13" s="383"/>
      <c r="G13" s="417">
        <f>SUM(G16:G16)</f>
        <v>54.8</v>
      </c>
      <c r="H13" s="385">
        <f>SUM(H14,H15,H16,H17,H18)</f>
        <v>14600</v>
      </c>
      <c r="I13" s="385">
        <f>SUM(I14,I15,I16,I17,I18)</f>
        <v>6749.52</v>
      </c>
      <c r="J13" s="385">
        <f>SUM(J14,J15,J16,J17,J18)</f>
        <v>13050</v>
      </c>
      <c r="K13" s="385">
        <f>SUM(K14,K15,K16,K17,K18)</f>
        <v>12250</v>
      </c>
      <c r="L13" s="385">
        <f>SUM(L14,L15,L16,L17,L18)</f>
        <v>0</v>
      </c>
    </row>
    <row r="14" spans="1:12" ht="12.75">
      <c r="A14" s="343">
        <v>8</v>
      </c>
      <c r="B14" s="379"/>
      <c r="C14" s="387" t="s">
        <v>239</v>
      </c>
      <c r="D14" s="419">
        <v>1</v>
      </c>
      <c r="E14" s="420" t="s">
        <v>343</v>
      </c>
      <c r="F14" s="421"/>
      <c r="G14" s="439"/>
      <c r="H14" s="392">
        <f>výdavky!D175+výdavky!D176</f>
        <v>7500</v>
      </c>
      <c r="I14" s="392">
        <f>výdavky!E175+výdavky!E176</f>
        <v>3667.21</v>
      </c>
      <c r="J14" s="571">
        <f>výdavky!F175</f>
        <v>7500</v>
      </c>
      <c r="K14" s="392">
        <f>výdavky!G175</f>
        <v>7900</v>
      </c>
      <c r="L14" s="392">
        <f>výdavky!H175</f>
        <v>0</v>
      </c>
    </row>
    <row r="15" spans="1:12" ht="12.75">
      <c r="A15" s="343">
        <v>9</v>
      </c>
      <c r="B15" s="379"/>
      <c r="C15" s="387" t="s">
        <v>241</v>
      </c>
      <c r="D15" s="423">
        <v>2</v>
      </c>
      <c r="E15" s="424" t="s">
        <v>242</v>
      </c>
      <c r="F15" s="425"/>
      <c r="G15" s="406"/>
      <c r="H15" s="397">
        <f>výdavky!D177+výdavky!D178</f>
        <v>2850</v>
      </c>
      <c r="I15" s="397">
        <f>výdavky!E177+výdavky!E178</f>
        <v>1327.16</v>
      </c>
      <c r="J15" s="572">
        <f>výdavky!F177</f>
        <v>1850</v>
      </c>
      <c r="K15" s="397">
        <f>výdavky!G177</f>
        <v>2700</v>
      </c>
      <c r="L15" s="397">
        <f>výdavky!H177</f>
        <v>0</v>
      </c>
    </row>
    <row r="16" spans="1:12" ht="12.75">
      <c r="A16" s="343">
        <v>10</v>
      </c>
      <c r="B16" s="379"/>
      <c r="C16" s="387" t="s">
        <v>247</v>
      </c>
      <c r="D16" s="432" t="s">
        <v>279</v>
      </c>
      <c r="E16" s="389" t="s">
        <v>248</v>
      </c>
      <c r="F16" s="433"/>
      <c r="G16" s="439">
        <f>ROUND(K16/30.126,1)</f>
        <v>54.8</v>
      </c>
      <c r="H16" s="392">
        <f>výdavky!D180+výdavky!D179</f>
        <v>4250</v>
      </c>
      <c r="I16" s="392">
        <f>výdavky!E180+výdavky!E179</f>
        <v>1755.15</v>
      </c>
      <c r="J16" s="571">
        <f>výdavky!F180+výdavky!F179</f>
        <v>3700</v>
      </c>
      <c r="K16" s="392">
        <f>výdavky!G180</f>
        <v>1650</v>
      </c>
      <c r="L16" s="392">
        <f>výdavky!H180</f>
        <v>0</v>
      </c>
    </row>
    <row r="17" spans="1:12" ht="12.75">
      <c r="A17" s="343">
        <f>A16+1</f>
        <v>11</v>
      </c>
      <c r="B17" s="379"/>
      <c r="C17" s="387" t="s">
        <v>249</v>
      </c>
      <c r="D17" s="437" t="s">
        <v>281</v>
      </c>
      <c r="E17" s="398" t="s">
        <v>344</v>
      </c>
      <c r="F17" s="405"/>
      <c r="G17" s="406"/>
      <c r="H17" s="397">
        <f>výdavky!D181</f>
        <v>0</v>
      </c>
      <c r="I17" s="397">
        <f>výdavky!E181</f>
        <v>0</v>
      </c>
      <c r="J17" s="572">
        <f>výdavky!F181</f>
        <v>0</v>
      </c>
      <c r="K17" s="397">
        <f>výdavky!G181</f>
        <v>0</v>
      </c>
      <c r="L17" s="397">
        <f>výdavky!H181</f>
        <v>0</v>
      </c>
    </row>
    <row r="18" spans="1:12" ht="12.75">
      <c r="A18" s="343">
        <f>A17+1</f>
        <v>12</v>
      </c>
      <c r="B18" s="379"/>
      <c r="C18" s="387" t="s">
        <v>255</v>
      </c>
      <c r="D18" s="437" t="s">
        <v>283</v>
      </c>
      <c r="E18" s="398" t="s">
        <v>256</v>
      </c>
      <c r="F18" s="405"/>
      <c r="G18" s="406"/>
      <c r="H18" s="397">
        <f>výdavky!D182</f>
        <v>0</v>
      </c>
      <c r="I18" s="397">
        <f>výdavky!E182</f>
        <v>0</v>
      </c>
      <c r="J18" s="572">
        <f>výdavky!F182</f>
        <v>0</v>
      </c>
      <c r="K18" s="397">
        <f>výdavky!G182</f>
        <v>0</v>
      </c>
      <c r="L18" s="397">
        <f>výdavky!H182</f>
        <v>0</v>
      </c>
    </row>
    <row r="19" spans="1:12" ht="12.75">
      <c r="A19" s="343">
        <v>13</v>
      </c>
      <c r="B19" s="456">
        <v>2</v>
      </c>
      <c r="C19" s="457" t="s">
        <v>345</v>
      </c>
      <c r="D19" s="360"/>
      <c r="E19" s="360"/>
      <c r="F19" s="361"/>
      <c r="G19" s="362" t="e">
        <f>#REF!+G21</f>
        <v>#REF!</v>
      </c>
      <c r="H19" s="364">
        <f>H20+SUM(H20,H24)</f>
        <v>10000</v>
      </c>
      <c r="I19" s="364">
        <f>I20+SUM(I20,I24)</f>
        <v>0</v>
      </c>
      <c r="J19" s="573">
        <f>J20+SUM(J20,J24)</f>
        <v>20000</v>
      </c>
      <c r="K19" s="364">
        <f>K20+SUM(K20,K24)</f>
        <v>27650</v>
      </c>
      <c r="L19" s="364">
        <f>L20+SUM(L20,L24)</f>
        <v>0</v>
      </c>
    </row>
    <row r="20" spans="1:12" ht="12.75">
      <c r="A20" s="343">
        <f aca="true" t="shared" si="2" ref="A20:A31">A19+1</f>
        <v>14</v>
      </c>
      <c r="B20" s="379"/>
      <c r="C20" s="387"/>
      <c r="D20" s="347" t="s">
        <v>232</v>
      </c>
      <c r="E20" s="404"/>
      <c r="F20" s="376"/>
      <c r="G20" s="377" t="e">
        <f aca="true" t="shared" si="3" ref="G20:L20">G21</f>
        <v>#REF!</v>
      </c>
      <c r="H20" s="378">
        <f t="shared" si="3"/>
        <v>0</v>
      </c>
      <c r="I20" s="378">
        <f t="shared" si="3"/>
        <v>0</v>
      </c>
      <c r="J20" s="570">
        <f t="shared" si="3"/>
        <v>0</v>
      </c>
      <c r="K20" s="378">
        <f t="shared" si="3"/>
        <v>0</v>
      </c>
      <c r="L20" s="378">
        <f t="shared" si="3"/>
        <v>0</v>
      </c>
    </row>
    <row r="21" spans="1:12" ht="12.75">
      <c r="A21" s="343">
        <f t="shared" si="2"/>
        <v>15</v>
      </c>
      <c r="B21" s="379"/>
      <c r="C21" s="459" t="s">
        <v>346</v>
      </c>
      <c r="D21" s="415" t="s">
        <v>347</v>
      </c>
      <c r="E21" s="382"/>
      <c r="F21" s="574"/>
      <c r="G21" s="430" t="e">
        <f>SUM(G24:G31)</f>
        <v>#REF!</v>
      </c>
      <c r="H21" s="431">
        <f>SUM(H22,H23)</f>
        <v>0</v>
      </c>
      <c r="I21" s="431">
        <f>SUM(I22,I23)</f>
        <v>0</v>
      </c>
      <c r="J21" s="431">
        <f>SUM(J22,J23)</f>
        <v>0</v>
      </c>
      <c r="K21" s="431">
        <f>SUM(K22,K23)</f>
        <v>0</v>
      </c>
      <c r="L21" s="431">
        <f>SUM(L22,L23)</f>
        <v>0</v>
      </c>
    </row>
    <row r="22" spans="1:12" ht="12.75">
      <c r="A22" s="343">
        <f t="shared" si="2"/>
        <v>16</v>
      </c>
      <c r="B22" s="379"/>
      <c r="C22" s="438" t="s">
        <v>348</v>
      </c>
      <c r="D22" s="432" t="s">
        <v>266</v>
      </c>
      <c r="E22" s="420" t="s">
        <v>349</v>
      </c>
      <c r="F22" s="421"/>
      <c r="G22" s="439"/>
      <c r="H22" s="392">
        <v>0</v>
      </c>
      <c r="I22" s="392">
        <v>0</v>
      </c>
      <c r="J22" s="575">
        <v>0</v>
      </c>
      <c r="K22" s="392">
        <v>0</v>
      </c>
      <c r="L22" s="392">
        <v>0</v>
      </c>
    </row>
    <row r="23" spans="1:12" ht="12.75">
      <c r="A23" s="343">
        <f t="shared" si="2"/>
        <v>17</v>
      </c>
      <c r="B23" s="379"/>
      <c r="C23" s="438" t="s">
        <v>348</v>
      </c>
      <c r="D23" s="437" t="s">
        <v>268</v>
      </c>
      <c r="E23" s="424" t="s">
        <v>350</v>
      </c>
      <c r="F23" s="425"/>
      <c r="G23" s="406"/>
      <c r="H23" s="397">
        <v>0</v>
      </c>
      <c r="I23" s="397">
        <v>0</v>
      </c>
      <c r="J23" s="576">
        <v>0</v>
      </c>
      <c r="K23" s="397">
        <v>0</v>
      </c>
      <c r="L23" s="397">
        <v>0</v>
      </c>
    </row>
    <row r="24" spans="1:12" ht="12.75">
      <c r="A24" s="343">
        <f t="shared" si="2"/>
        <v>18</v>
      </c>
      <c r="B24" s="386"/>
      <c r="C24" s="387"/>
      <c r="D24" s="1262" t="s">
        <v>230</v>
      </c>
      <c r="E24" s="1262"/>
      <c r="F24" s="577"/>
      <c r="G24" s="578"/>
      <c r="H24" s="579">
        <f>SUM(H25)</f>
        <v>10000</v>
      </c>
      <c r="I24" s="579">
        <f>SUM(I25)</f>
        <v>0</v>
      </c>
      <c r="J24" s="570">
        <f>SUM(J25)</f>
        <v>20000</v>
      </c>
      <c r="K24" s="579">
        <f>SUM(K25)</f>
        <v>27650</v>
      </c>
      <c r="L24" s="579">
        <f>SUM(L25)</f>
        <v>0</v>
      </c>
    </row>
    <row r="25" spans="1:12" ht="12.75">
      <c r="A25" s="343">
        <f t="shared" si="2"/>
        <v>19</v>
      </c>
      <c r="B25" s="386"/>
      <c r="C25" s="459" t="s">
        <v>346</v>
      </c>
      <c r="D25" s="415" t="s">
        <v>347</v>
      </c>
      <c r="E25" s="382"/>
      <c r="F25" s="574"/>
      <c r="G25" s="430" t="e">
        <f>SUM(G28:G31)</f>
        <v>#REF!</v>
      </c>
      <c r="H25" s="431">
        <f>SUM(H26,H27)</f>
        <v>10000</v>
      </c>
      <c r="I25" s="431">
        <f>SUM(I26,I27)</f>
        <v>0</v>
      </c>
      <c r="J25" s="431">
        <f>SUM(J26,J27)</f>
        <v>20000</v>
      </c>
      <c r="K25" s="431">
        <f>SUM(K26,K27)</f>
        <v>27650</v>
      </c>
      <c r="L25" s="431">
        <f>SUM(L26,L27)</f>
        <v>0</v>
      </c>
    </row>
    <row r="26" spans="1:12" ht="12.75">
      <c r="A26" s="343">
        <f t="shared" si="2"/>
        <v>20</v>
      </c>
      <c r="B26" s="386"/>
      <c r="C26" s="580">
        <v>633</v>
      </c>
      <c r="D26" s="432" t="s">
        <v>279</v>
      </c>
      <c r="E26" s="420" t="s">
        <v>248</v>
      </c>
      <c r="F26" s="420"/>
      <c r="G26" s="420"/>
      <c r="H26" s="392">
        <f>výdavky!D189</f>
        <v>0</v>
      </c>
      <c r="I26" s="392">
        <f>výdavky!E189</f>
        <v>0</v>
      </c>
      <c r="J26" s="575">
        <f>výdavky!F189</f>
        <v>0</v>
      </c>
      <c r="K26" s="392">
        <f>výdavky!G189</f>
        <v>3300</v>
      </c>
      <c r="L26" s="392">
        <f>výdavky!H189</f>
        <v>0</v>
      </c>
    </row>
    <row r="27" spans="1:12" ht="12.75">
      <c r="A27" s="343">
        <f t="shared" si="2"/>
        <v>21</v>
      </c>
      <c r="B27" s="386"/>
      <c r="C27" s="580">
        <v>635</v>
      </c>
      <c r="D27" s="437" t="s">
        <v>281</v>
      </c>
      <c r="E27" s="424" t="s">
        <v>351</v>
      </c>
      <c r="F27" s="581"/>
      <c r="G27" s="406"/>
      <c r="H27" s="397">
        <f>výdavky!D191</f>
        <v>10000</v>
      </c>
      <c r="I27" s="397">
        <f>výdavky!E191</f>
        <v>0</v>
      </c>
      <c r="J27" s="576">
        <f>výdavky!F191</f>
        <v>20000</v>
      </c>
      <c r="K27" s="397">
        <f>výdavky!G191</f>
        <v>24350</v>
      </c>
      <c r="L27" s="397">
        <f>výdavky!H191</f>
        <v>0</v>
      </c>
    </row>
    <row r="28" spans="1:12" ht="12.75">
      <c r="A28" s="343">
        <f t="shared" si="2"/>
        <v>22</v>
      </c>
      <c r="B28" s="456">
        <v>3</v>
      </c>
      <c r="C28" s="457" t="s">
        <v>352</v>
      </c>
      <c r="D28" s="360"/>
      <c r="E28" s="360"/>
      <c r="F28" s="361"/>
      <c r="G28" s="362" t="e">
        <f>#REF!+G31</f>
        <v>#REF!</v>
      </c>
      <c r="H28" s="364">
        <f>SUM(H29)</f>
        <v>1000</v>
      </c>
      <c r="I28" s="364">
        <f>SUM(I29)</f>
        <v>0</v>
      </c>
      <c r="J28" s="364">
        <f>SUM(J29)</f>
        <v>1000</v>
      </c>
      <c r="K28" s="364">
        <f>SUM(K29)</f>
        <v>700</v>
      </c>
      <c r="L28" s="364">
        <f>SUM(L29)</f>
        <v>0</v>
      </c>
    </row>
    <row r="29" spans="1:12" ht="12.75">
      <c r="A29" s="343">
        <f t="shared" si="2"/>
        <v>23</v>
      </c>
      <c r="B29" s="458"/>
      <c r="C29" s="448"/>
      <c r="D29" s="348" t="s">
        <v>230</v>
      </c>
      <c r="E29" s="375"/>
      <c r="F29" s="376"/>
      <c r="G29" s="377">
        <f aca="true" t="shared" si="4" ref="G29:L29">G30</f>
        <v>0</v>
      </c>
      <c r="H29" s="378">
        <f t="shared" si="4"/>
        <v>1000</v>
      </c>
      <c r="I29" s="378">
        <f t="shared" si="4"/>
        <v>0</v>
      </c>
      <c r="J29" s="570">
        <f t="shared" si="4"/>
        <v>1000</v>
      </c>
      <c r="K29" s="378">
        <f t="shared" si="4"/>
        <v>700</v>
      </c>
      <c r="L29" s="378">
        <f t="shared" si="4"/>
        <v>0</v>
      </c>
    </row>
    <row r="30" spans="1:12" s="584" customFormat="1" ht="12.75">
      <c r="A30" s="343">
        <f t="shared" si="2"/>
        <v>24</v>
      </c>
      <c r="B30" s="582"/>
      <c r="C30" s="459" t="s">
        <v>353</v>
      </c>
      <c r="D30" s="415" t="s">
        <v>352</v>
      </c>
      <c r="E30" s="382"/>
      <c r="F30" s="583"/>
      <c r="G30" s="417"/>
      <c r="H30" s="385">
        <f>SUM(H31:H31)</f>
        <v>1000</v>
      </c>
      <c r="I30" s="385">
        <f>SUM(I31:I31)</f>
        <v>0</v>
      </c>
      <c r="J30" s="385">
        <f>SUM(J31:J31)</f>
        <v>1000</v>
      </c>
      <c r="K30" s="385">
        <f>SUM(K31:K31)</f>
        <v>700</v>
      </c>
      <c r="L30" s="385">
        <f>SUM(L31:L31)</f>
        <v>0</v>
      </c>
    </row>
    <row r="31" spans="1:12" ht="12.75">
      <c r="A31" s="343">
        <f t="shared" si="2"/>
        <v>25</v>
      </c>
      <c r="B31" s="539"/>
      <c r="C31" s="438" t="s">
        <v>255</v>
      </c>
      <c r="D31" s="432" t="s">
        <v>266</v>
      </c>
      <c r="E31" s="531" t="s">
        <v>354</v>
      </c>
      <c r="F31" s="585"/>
      <c r="G31" s="439">
        <f>ROUND(K31/30.126,1)</f>
        <v>23.2</v>
      </c>
      <c r="H31" s="392">
        <v>1000</v>
      </c>
      <c r="I31" s="392">
        <v>0</v>
      </c>
      <c r="J31" s="575">
        <f>výdavky!F186</f>
        <v>1000</v>
      </c>
      <c r="K31" s="392">
        <f>výdavky!G186</f>
        <v>700</v>
      </c>
      <c r="L31" s="392">
        <f>výdavky!H186</f>
        <v>0</v>
      </c>
    </row>
    <row r="32" spans="1:12" ht="12.75">
      <c r="A32" s="343"/>
      <c r="B32" s="586"/>
      <c r="C32" s="587">
        <v>637</v>
      </c>
      <c r="D32" s="393">
        <v>2</v>
      </c>
      <c r="E32" s="588"/>
      <c r="F32" s="589"/>
      <c r="G32" s="406"/>
      <c r="H32" s="397"/>
      <c r="I32" s="397"/>
      <c r="J32" s="576"/>
      <c r="K32" s="397"/>
      <c r="L32" s="397"/>
    </row>
    <row r="33" spans="1:12" ht="12.75">
      <c r="A33" s="343">
        <v>30</v>
      </c>
      <c r="B33" s="534">
        <v>4</v>
      </c>
      <c r="C33" s="457" t="s">
        <v>355</v>
      </c>
      <c r="D33" s="590"/>
      <c r="E33" s="590"/>
      <c r="F33" s="591"/>
      <c r="G33" s="592" t="e">
        <f>#REF!+#REF!</f>
        <v>#REF!</v>
      </c>
      <c r="H33" s="364">
        <f>SUM(H34+H44)</f>
        <v>97970</v>
      </c>
      <c r="I33" s="364">
        <f>SUM(I34+I44)</f>
        <v>35073.350000000006</v>
      </c>
      <c r="J33" s="573">
        <f>SUM(J34+J44)</f>
        <v>87270</v>
      </c>
      <c r="K33" s="364">
        <f>SUM(K34+K44)</f>
        <v>88520</v>
      </c>
      <c r="L33" s="364">
        <f>SUM(L34+L44)</f>
        <v>0</v>
      </c>
    </row>
    <row r="34" spans="1:12" ht="12.75">
      <c r="A34" s="343">
        <f aca="true" t="shared" si="5" ref="A34:A43">A33+1</f>
        <v>31</v>
      </c>
      <c r="B34" s="458"/>
      <c r="C34" s="448"/>
      <c r="D34" s="348" t="s">
        <v>230</v>
      </c>
      <c r="E34" s="375"/>
      <c r="F34" s="376"/>
      <c r="G34" s="377" t="e">
        <f>G35+G45</f>
        <v>#REF!</v>
      </c>
      <c r="H34" s="378">
        <f>H35</f>
        <v>97970</v>
      </c>
      <c r="I34" s="378">
        <f>I35</f>
        <v>35073.350000000006</v>
      </c>
      <c r="J34" s="570">
        <f>J35</f>
        <v>87270</v>
      </c>
      <c r="K34" s="378">
        <f>K35</f>
        <v>88520</v>
      </c>
      <c r="L34" s="378">
        <f>L35</f>
        <v>0</v>
      </c>
    </row>
    <row r="35" spans="1:12" ht="12.75">
      <c r="A35" s="343">
        <f t="shared" si="5"/>
        <v>32</v>
      </c>
      <c r="B35" s="379"/>
      <c r="C35" s="459" t="s">
        <v>356</v>
      </c>
      <c r="D35" s="381" t="s">
        <v>357</v>
      </c>
      <c r="E35" s="382"/>
      <c r="F35" s="383"/>
      <c r="G35" s="417">
        <f aca="true" t="shared" si="6" ref="G35:L35">SUM(G36:G43)</f>
        <v>1880.5</v>
      </c>
      <c r="H35" s="385">
        <f t="shared" si="6"/>
        <v>97970</v>
      </c>
      <c r="I35" s="385">
        <f t="shared" si="6"/>
        <v>35073.350000000006</v>
      </c>
      <c r="J35" s="385">
        <f t="shared" si="6"/>
        <v>87270</v>
      </c>
      <c r="K35" s="385">
        <f t="shared" si="6"/>
        <v>88520</v>
      </c>
      <c r="L35" s="385">
        <f t="shared" si="6"/>
        <v>0</v>
      </c>
    </row>
    <row r="36" spans="1:12" ht="12.75">
      <c r="A36" s="343">
        <f t="shared" si="5"/>
        <v>33</v>
      </c>
      <c r="B36" s="386"/>
      <c r="C36" s="438" t="s">
        <v>239</v>
      </c>
      <c r="D36" s="432" t="s">
        <v>266</v>
      </c>
      <c r="E36" s="389" t="s">
        <v>343</v>
      </c>
      <c r="F36" s="433"/>
      <c r="G36" s="439">
        <f>ROUND(K36/30.126,1)</f>
        <v>1825.7</v>
      </c>
      <c r="H36" s="392">
        <f>výdavky!D158</f>
        <v>60000</v>
      </c>
      <c r="I36" s="392">
        <f>výdavky!E158</f>
        <v>21211.51</v>
      </c>
      <c r="J36" s="571">
        <f>výdavky!F158</f>
        <v>55000</v>
      </c>
      <c r="K36" s="392">
        <f>výdavky!G158</f>
        <v>55000</v>
      </c>
      <c r="L36" s="392">
        <f>výdavky!H158</f>
        <v>0</v>
      </c>
    </row>
    <row r="37" spans="1:12" ht="12.75">
      <c r="A37" s="343">
        <f t="shared" si="5"/>
        <v>34</v>
      </c>
      <c r="B37" s="386"/>
      <c r="C37" s="438" t="s">
        <v>241</v>
      </c>
      <c r="D37" s="437" t="s">
        <v>268</v>
      </c>
      <c r="E37" s="398" t="s">
        <v>242</v>
      </c>
      <c r="F37" s="405"/>
      <c r="G37" s="406"/>
      <c r="H37" s="397">
        <f>výdavky!D159</f>
        <v>22100</v>
      </c>
      <c r="I37" s="397">
        <f>výdavky!E159</f>
        <v>7483.68</v>
      </c>
      <c r="J37" s="572">
        <f>výdavky!F159</f>
        <v>20000</v>
      </c>
      <c r="K37" s="397">
        <f>výdavky!G159</f>
        <v>18000</v>
      </c>
      <c r="L37" s="397">
        <f>výdavky!H159</f>
        <v>0</v>
      </c>
    </row>
    <row r="38" spans="1:12" ht="12.75">
      <c r="A38" s="343">
        <f t="shared" si="5"/>
        <v>35</v>
      </c>
      <c r="B38" s="386"/>
      <c r="C38" s="438" t="s">
        <v>245</v>
      </c>
      <c r="D38" s="432" t="s">
        <v>279</v>
      </c>
      <c r="E38" s="389" t="s">
        <v>246</v>
      </c>
      <c r="F38" s="433"/>
      <c r="G38" s="439">
        <f>ROUND(K38/30.126,1)</f>
        <v>54.8</v>
      </c>
      <c r="H38" s="392">
        <f>výdavky!D160</f>
        <v>1800</v>
      </c>
      <c r="I38" s="392">
        <f>výdavky!E160</f>
        <v>779.08</v>
      </c>
      <c r="J38" s="571">
        <f>výdavky!F160</f>
        <v>1600</v>
      </c>
      <c r="K38" s="392">
        <f>výdavky!G160</f>
        <v>1650</v>
      </c>
      <c r="L38" s="392">
        <f>výdavky!H160</f>
        <v>0</v>
      </c>
    </row>
    <row r="39" spans="1:12" ht="12.75">
      <c r="A39" s="343">
        <f t="shared" si="5"/>
        <v>36</v>
      </c>
      <c r="B39" s="386"/>
      <c r="C39" s="438" t="s">
        <v>247</v>
      </c>
      <c r="D39" s="437" t="s">
        <v>281</v>
      </c>
      <c r="E39" s="398" t="s">
        <v>248</v>
      </c>
      <c r="F39" s="405"/>
      <c r="G39" s="406"/>
      <c r="H39" s="397">
        <f>výdavky!D161</f>
        <v>2300</v>
      </c>
      <c r="I39" s="397">
        <f>výdavky!E161</f>
        <v>2204.6800000000003</v>
      </c>
      <c r="J39" s="572">
        <f>výdavky!F161</f>
        <v>4100</v>
      </c>
      <c r="K39" s="397">
        <f>výdavky!G161</f>
        <v>5900</v>
      </c>
      <c r="L39" s="397">
        <f>výdavky!H161</f>
        <v>0</v>
      </c>
    </row>
    <row r="40" spans="1:12" ht="12.75">
      <c r="A40" s="343">
        <f t="shared" si="5"/>
        <v>37</v>
      </c>
      <c r="B40" s="386"/>
      <c r="C40" s="438" t="s">
        <v>249</v>
      </c>
      <c r="D40" s="432" t="s">
        <v>283</v>
      </c>
      <c r="E40" s="389" t="s">
        <v>250</v>
      </c>
      <c r="F40" s="433"/>
      <c r="G40" s="439"/>
      <c r="H40" s="392">
        <f>výdavky!D166</f>
        <v>8000</v>
      </c>
      <c r="I40" s="392">
        <f>výdavky!E166</f>
        <v>1278.38</v>
      </c>
      <c r="J40" s="571">
        <f>výdavky!F166</f>
        <v>2800</v>
      </c>
      <c r="K40" s="392">
        <f>výdavky!G166</f>
        <v>4100</v>
      </c>
      <c r="L40" s="392">
        <f>výdavky!H166</f>
        <v>0</v>
      </c>
    </row>
    <row r="41" spans="1:12" ht="12.75">
      <c r="A41" s="343">
        <f t="shared" si="5"/>
        <v>38</v>
      </c>
      <c r="B41" s="386"/>
      <c r="C41" s="438" t="s">
        <v>251</v>
      </c>
      <c r="D41" s="437" t="s">
        <v>287</v>
      </c>
      <c r="E41" s="398" t="s">
        <v>358</v>
      </c>
      <c r="F41" s="405"/>
      <c r="G41" s="406"/>
      <c r="H41" s="397">
        <f>výdavky!D170</f>
        <v>3500</v>
      </c>
      <c r="I41" s="397">
        <f>výdavky!E170</f>
        <v>1972.66</v>
      </c>
      <c r="J41" s="572">
        <f>výdavky!F170</f>
        <v>3500</v>
      </c>
      <c r="K41" s="397">
        <f>výdavky!G170</f>
        <v>3500</v>
      </c>
      <c r="L41" s="397">
        <f>výdavky!H170</f>
        <v>0</v>
      </c>
    </row>
    <row r="42" spans="1:12" ht="12.75">
      <c r="A42" s="343">
        <f t="shared" si="5"/>
        <v>39</v>
      </c>
      <c r="B42" s="386"/>
      <c r="C42" s="438" t="s">
        <v>255</v>
      </c>
      <c r="D42" s="432" t="s">
        <v>290</v>
      </c>
      <c r="E42" s="389" t="s">
        <v>321</v>
      </c>
      <c r="F42" s="433"/>
      <c r="G42" s="439"/>
      <c r="H42" s="392">
        <f>výdavky!D171</f>
        <v>270</v>
      </c>
      <c r="I42" s="392">
        <f>výdavky!E171</f>
        <v>143.36</v>
      </c>
      <c r="J42" s="571">
        <f>výdavky!F171</f>
        <v>270</v>
      </c>
      <c r="K42" s="392">
        <f>výdavky!G171</f>
        <v>370</v>
      </c>
      <c r="L42" s="392">
        <f>výdavky!H171</f>
        <v>0</v>
      </c>
    </row>
    <row r="43" spans="1:12" ht="12.75">
      <c r="A43" s="343">
        <f t="shared" si="5"/>
        <v>40</v>
      </c>
      <c r="B43" s="386"/>
      <c r="C43" s="438" t="s">
        <v>265</v>
      </c>
      <c r="D43" s="437" t="s">
        <v>320</v>
      </c>
      <c r="E43" s="398" t="s">
        <v>359</v>
      </c>
      <c r="F43" s="405"/>
      <c r="G43" s="406"/>
      <c r="H43" s="397">
        <f>výdavky!D172</f>
        <v>0</v>
      </c>
      <c r="I43" s="397">
        <f>výdavky!E172</f>
        <v>0</v>
      </c>
      <c r="J43" s="572">
        <f>výdavky!F172</f>
        <v>0</v>
      </c>
      <c r="K43" s="397">
        <f>výdavky!G172</f>
        <v>0</v>
      </c>
      <c r="L43" s="397">
        <f>výdavky!H172</f>
        <v>0</v>
      </c>
    </row>
    <row r="44" spans="1:12" ht="12.75">
      <c r="A44" s="343">
        <v>41</v>
      </c>
      <c r="B44" s="386"/>
      <c r="C44" s="387"/>
      <c r="D44" s="347" t="s">
        <v>232</v>
      </c>
      <c r="E44" s="404"/>
      <c r="F44" s="376"/>
      <c r="G44" s="377" t="e">
        <f aca="true" t="shared" si="7" ref="G44:L44">G45</f>
        <v>#REF!</v>
      </c>
      <c r="H44" s="378">
        <f t="shared" si="7"/>
        <v>0</v>
      </c>
      <c r="I44" s="378">
        <f t="shared" si="7"/>
        <v>0</v>
      </c>
      <c r="J44" s="570">
        <f t="shared" si="7"/>
        <v>0</v>
      </c>
      <c r="K44" s="378">
        <f t="shared" si="7"/>
        <v>0</v>
      </c>
      <c r="L44" s="378">
        <f t="shared" si="7"/>
        <v>0</v>
      </c>
    </row>
    <row r="45" spans="1:12" ht="12.75">
      <c r="A45" s="343">
        <f>A44+1</f>
        <v>42</v>
      </c>
      <c r="B45" s="386"/>
      <c r="C45" s="459" t="s">
        <v>360</v>
      </c>
      <c r="D45" s="381" t="s">
        <v>357</v>
      </c>
      <c r="E45" s="382"/>
      <c r="F45" s="383"/>
      <c r="G45" s="417" t="e">
        <f>SUM(#REF!)</f>
        <v>#REF!</v>
      </c>
      <c r="H45" s="385">
        <f>SUM(H46:H46)</f>
        <v>0</v>
      </c>
      <c r="I45" s="385">
        <f>SUM(I46:I46)</f>
        <v>0</v>
      </c>
      <c r="J45" s="385">
        <f>SUM(J46:J46)</f>
        <v>0</v>
      </c>
      <c r="K45" s="385">
        <f>SUM(K46:K46)</f>
        <v>0</v>
      </c>
      <c r="L45" s="385">
        <f>SUM(L46:L46)</f>
        <v>0</v>
      </c>
    </row>
    <row r="46" spans="1:12" s="413" customFormat="1" ht="12.75">
      <c r="A46" s="468">
        <v>43</v>
      </c>
      <c r="B46" s="558"/>
      <c r="C46" s="593" t="s">
        <v>348</v>
      </c>
      <c r="D46" s="514" t="s">
        <v>322</v>
      </c>
      <c r="E46" s="594"/>
      <c r="F46" s="595"/>
      <c r="G46" s="596"/>
      <c r="H46" s="519">
        <v>0</v>
      </c>
      <c r="I46" s="519">
        <v>0</v>
      </c>
      <c r="J46" s="597">
        <v>0</v>
      </c>
      <c r="K46" s="519">
        <v>0</v>
      </c>
      <c r="L46" s="519">
        <v>0</v>
      </c>
    </row>
  </sheetData>
  <sheetProtection/>
  <mergeCells count="3">
    <mergeCell ref="G3:L3"/>
    <mergeCell ref="D4:F6"/>
    <mergeCell ref="D24:E24"/>
  </mergeCells>
  <printOptions/>
  <pageMargins left="0.7875" right="0.19652777777777777" top="0.39375" bottom="0.39375" header="0.5118055555555556" footer="0.5118055555555556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57421875" style="306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0" width="9.7109375" style="0" customWidth="1"/>
    <col min="11" max="12" width="8.421875" style="0" customWidth="1"/>
  </cols>
  <sheetData>
    <row r="1" spans="2:12" ht="15.75">
      <c r="B1" s="310" t="s">
        <v>361</v>
      </c>
      <c r="E1" s="310" t="s">
        <v>362</v>
      </c>
      <c r="F1" s="308"/>
      <c r="G1" s="476" t="e">
        <f>G2-G7</f>
        <v>#REF!</v>
      </c>
      <c r="H1" s="476"/>
      <c r="I1" s="476"/>
      <c r="J1" s="477">
        <f>J2-J7</f>
        <v>0</v>
      </c>
      <c r="K1" s="477">
        <f>K2-K7</f>
        <v>0</v>
      </c>
      <c r="L1" s="477">
        <f>L2-L7</f>
        <v>0</v>
      </c>
    </row>
    <row r="2" spans="2:12" ht="15.75">
      <c r="B2" s="310"/>
      <c r="G2" s="478" t="e">
        <f>SUM(G8:G10)</f>
        <v>#REF!</v>
      </c>
      <c r="H2" s="478"/>
      <c r="I2" s="478"/>
      <c r="J2" s="318">
        <f>SUM(J8:J10)</f>
        <v>362520</v>
      </c>
      <c r="K2" s="318">
        <f>SUM(K8:K10)</f>
        <v>360435</v>
      </c>
      <c r="L2" s="318">
        <f>SUM(L8:L10)</f>
        <v>0</v>
      </c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1.25" customHeight="1">
      <c r="A4" s="324"/>
      <c r="B4" s="325" t="s">
        <v>216</v>
      </c>
      <c r="C4" s="326" t="s">
        <v>217</v>
      </c>
      <c r="D4" s="1260" t="s">
        <v>218</v>
      </c>
      <c r="E4" s="1260"/>
      <c r="F4" s="1260"/>
      <c r="G4" s="327"/>
      <c r="H4" s="328">
        <v>2014</v>
      </c>
      <c r="I4" s="328" t="s">
        <v>108</v>
      </c>
      <c r="J4" s="329" t="s">
        <v>219</v>
      </c>
      <c r="K4" s="329" t="s">
        <v>220</v>
      </c>
      <c r="L4" s="329"/>
    </row>
    <row r="5" spans="1:12" ht="15" customHeight="1">
      <c r="A5" s="324"/>
      <c r="B5" s="325" t="s">
        <v>221</v>
      </c>
      <c r="C5" s="326" t="s">
        <v>222</v>
      </c>
      <c r="D5" s="1260"/>
      <c r="E5" s="1260"/>
      <c r="F5" s="1260"/>
      <c r="G5" s="330" t="s">
        <v>223</v>
      </c>
      <c r="H5" s="331" t="s">
        <v>224</v>
      </c>
      <c r="I5" s="598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324"/>
      <c r="B6" s="480" t="s">
        <v>226</v>
      </c>
      <c r="C6" s="481" t="s">
        <v>227</v>
      </c>
      <c r="D6" s="1260"/>
      <c r="E6" s="1260"/>
      <c r="F6" s="1260"/>
      <c r="G6" s="482">
        <v>1</v>
      </c>
      <c r="H6" s="333">
        <v>0</v>
      </c>
      <c r="I6" s="333">
        <v>1</v>
      </c>
      <c r="J6" s="483">
        <v>2</v>
      </c>
      <c r="K6" s="335">
        <v>3</v>
      </c>
      <c r="L6" s="335">
        <v>4</v>
      </c>
    </row>
    <row r="7" spans="1:12" ht="15">
      <c r="A7" s="336">
        <v>1</v>
      </c>
      <c r="B7" s="599" t="s">
        <v>361</v>
      </c>
      <c r="C7" s="486"/>
      <c r="D7" s="487"/>
      <c r="E7" s="488" t="s">
        <v>362</v>
      </c>
      <c r="F7" s="489"/>
      <c r="G7" s="490" t="e">
        <f>G11+G23</f>
        <v>#REF!</v>
      </c>
      <c r="H7" s="342">
        <f>SUM(H8,H9,H10)</f>
        <v>563800</v>
      </c>
      <c r="I7" s="342">
        <f>SUM(I8,I9,I10)</f>
        <v>53375.130000000005</v>
      </c>
      <c r="J7" s="491">
        <f>SUM(J8,J9,J10)</f>
        <v>362520</v>
      </c>
      <c r="K7" s="342">
        <f>SUM(K8,K9,K10)</f>
        <v>360435</v>
      </c>
      <c r="L7" s="342">
        <f>SUM(L8,L9,L10)</f>
        <v>0</v>
      </c>
    </row>
    <row r="8" spans="1:12" ht="12.75">
      <c r="A8" s="343">
        <f aca="true" t="shared" si="0" ref="A8:A17">A7+1</f>
        <v>2</v>
      </c>
      <c r="B8" s="344" t="s">
        <v>229</v>
      </c>
      <c r="C8" s="345" t="s">
        <v>230</v>
      </c>
      <c r="D8" s="346"/>
      <c r="E8" s="347"/>
      <c r="F8" s="348"/>
      <c r="G8" s="493" t="e">
        <f>G12+G24</f>
        <v>#REF!</v>
      </c>
      <c r="H8" s="495">
        <f>SUM(H12+H24+H40)</f>
        <v>96300</v>
      </c>
      <c r="I8" s="495">
        <f>SUM(I12+I24+I40)</f>
        <v>47435.130000000005</v>
      </c>
      <c r="J8" s="494">
        <f>SUM(J12+J24+J40)</f>
        <v>92520</v>
      </c>
      <c r="K8" s="495">
        <f>SUM(K12+K24+K40)</f>
        <v>90435</v>
      </c>
      <c r="L8" s="495">
        <f>SUM(L12+L24+L40)</f>
        <v>0</v>
      </c>
    </row>
    <row r="9" spans="1:12" ht="12.75">
      <c r="A9" s="343">
        <f t="shared" si="0"/>
        <v>3</v>
      </c>
      <c r="B9" s="344" t="s">
        <v>231</v>
      </c>
      <c r="C9" s="345" t="s">
        <v>232</v>
      </c>
      <c r="D9" s="346"/>
      <c r="E9" s="347"/>
      <c r="F9" s="348"/>
      <c r="G9" s="493" t="e">
        <f>#REF!</f>
        <v>#REF!</v>
      </c>
      <c r="H9" s="495">
        <f>H19</f>
        <v>467500</v>
      </c>
      <c r="I9" s="495">
        <f>I19</f>
        <v>5940</v>
      </c>
      <c r="J9" s="495">
        <f>J19+J34</f>
        <v>270000</v>
      </c>
      <c r="K9" s="495">
        <f>K19+K34</f>
        <v>270000</v>
      </c>
      <c r="L9" s="495">
        <f>L19</f>
        <v>0</v>
      </c>
    </row>
    <row r="10" spans="1:12" ht="12.75">
      <c r="A10" s="343">
        <f t="shared" si="0"/>
        <v>4</v>
      </c>
      <c r="B10" s="344"/>
      <c r="C10" s="345" t="s">
        <v>233</v>
      </c>
      <c r="D10" s="346"/>
      <c r="E10" s="347"/>
      <c r="F10" s="348"/>
      <c r="G10" s="493">
        <v>0</v>
      </c>
      <c r="H10" s="495">
        <v>0</v>
      </c>
      <c r="I10" s="495">
        <v>0</v>
      </c>
      <c r="J10" s="494">
        <v>0</v>
      </c>
      <c r="K10" s="495">
        <v>0</v>
      </c>
      <c r="L10" s="495">
        <v>0</v>
      </c>
    </row>
    <row r="11" spans="1:12" ht="12.75">
      <c r="A11" s="343">
        <f t="shared" si="0"/>
        <v>5</v>
      </c>
      <c r="B11" s="600">
        <v>1</v>
      </c>
      <c r="C11" s="601" t="s">
        <v>363</v>
      </c>
      <c r="D11" s="602"/>
      <c r="E11" s="602"/>
      <c r="F11" s="603"/>
      <c r="G11" s="604" t="e">
        <f>SUM(G13)+#REF!</f>
        <v>#REF!</v>
      </c>
      <c r="H11" s="363">
        <f aca="true" t="shared" si="1" ref="H11:L12">H12</f>
        <v>70000</v>
      </c>
      <c r="I11" s="363">
        <f t="shared" si="1"/>
        <v>37334.26</v>
      </c>
      <c r="J11" s="363">
        <f t="shared" si="1"/>
        <v>74500</v>
      </c>
      <c r="K11" s="363">
        <f t="shared" si="1"/>
        <v>72165</v>
      </c>
      <c r="L11" s="363">
        <f t="shared" si="1"/>
        <v>0</v>
      </c>
    </row>
    <row r="12" spans="1:12" s="413" customFormat="1" ht="12.75">
      <c r="A12" s="343">
        <f t="shared" si="0"/>
        <v>6</v>
      </c>
      <c r="B12" s="373"/>
      <c r="C12" s="374"/>
      <c r="D12" s="348" t="s">
        <v>230</v>
      </c>
      <c r="E12" s="375"/>
      <c r="F12" s="376"/>
      <c r="G12" s="377" t="e">
        <f>G13</f>
        <v>#REF!</v>
      </c>
      <c r="H12" s="378">
        <f t="shared" si="1"/>
        <v>70000</v>
      </c>
      <c r="I12" s="378">
        <f t="shared" si="1"/>
        <v>37334.26</v>
      </c>
      <c r="J12" s="378">
        <f t="shared" si="1"/>
        <v>74500</v>
      </c>
      <c r="K12" s="378">
        <f t="shared" si="1"/>
        <v>72165</v>
      </c>
      <c r="L12" s="378">
        <f t="shared" si="1"/>
        <v>0</v>
      </c>
    </row>
    <row r="13" spans="1:12" ht="12.75">
      <c r="A13" s="343">
        <f t="shared" si="0"/>
        <v>7</v>
      </c>
      <c r="B13" s="407"/>
      <c r="C13" s="506" t="s">
        <v>364</v>
      </c>
      <c r="D13" s="415" t="s">
        <v>365</v>
      </c>
      <c r="E13" s="507"/>
      <c r="F13" s="508"/>
      <c r="G13" s="417" t="e">
        <f>SUM(#REF!)</f>
        <v>#REF!</v>
      </c>
      <c r="H13" s="385">
        <f>SUM(H14,H15,H16,H17)</f>
        <v>70000</v>
      </c>
      <c r="I13" s="385">
        <f>SUM(I14,I15,I16,I17,I18)</f>
        <v>37334.26</v>
      </c>
      <c r="J13" s="385">
        <f>SUM(J14,J15,J16,J17,J18)</f>
        <v>74500</v>
      </c>
      <c r="K13" s="385">
        <f>SUM(K14,K15,K16,K17)+K18</f>
        <v>72165</v>
      </c>
      <c r="L13" s="385">
        <f>SUM(L14,L15,L16,L17)</f>
        <v>0</v>
      </c>
    </row>
    <row r="14" spans="1:12" ht="12.75">
      <c r="A14" s="343">
        <f t="shared" si="0"/>
        <v>8</v>
      </c>
      <c r="B14" s="407"/>
      <c r="C14" s="436" t="s">
        <v>247</v>
      </c>
      <c r="D14" s="437" t="s">
        <v>266</v>
      </c>
      <c r="E14" s="394" t="s">
        <v>248</v>
      </c>
      <c r="F14" s="425"/>
      <c r="G14" s="426"/>
      <c r="H14" s="397">
        <v>0</v>
      </c>
      <c r="I14" s="397">
        <v>0</v>
      </c>
      <c r="J14" s="397">
        <f>výdavky!F202</f>
        <v>0</v>
      </c>
      <c r="K14" s="397">
        <f>výdavky!G202</f>
        <v>0</v>
      </c>
      <c r="L14" s="397">
        <f>výdavky!H202</f>
        <v>0</v>
      </c>
    </row>
    <row r="15" spans="1:12" ht="12.75">
      <c r="A15" s="343">
        <f t="shared" si="0"/>
        <v>9</v>
      </c>
      <c r="B15" s="407"/>
      <c r="C15" s="436" t="s">
        <v>249</v>
      </c>
      <c r="D15" s="437" t="s">
        <v>268</v>
      </c>
      <c r="E15" s="394" t="s">
        <v>250</v>
      </c>
      <c r="F15" s="425"/>
      <c r="G15" s="426"/>
      <c r="H15" s="397">
        <v>0</v>
      </c>
      <c r="I15" s="397">
        <v>0</v>
      </c>
      <c r="J15" s="397">
        <f>výdavky!F203</f>
        <v>0</v>
      </c>
      <c r="K15" s="397">
        <f>výdavky!G203</f>
        <v>0</v>
      </c>
      <c r="L15" s="397">
        <f>výdavky!H203</f>
        <v>0</v>
      </c>
    </row>
    <row r="16" spans="1:12" ht="12.75">
      <c r="A16" s="343">
        <f t="shared" si="0"/>
        <v>10</v>
      </c>
      <c r="B16" s="407"/>
      <c r="C16" s="436" t="s">
        <v>251</v>
      </c>
      <c r="D16" s="437" t="s">
        <v>279</v>
      </c>
      <c r="E16" s="394" t="s">
        <v>334</v>
      </c>
      <c r="F16" s="425"/>
      <c r="G16" s="426"/>
      <c r="H16" s="397">
        <v>0</v>
      </c>
      <c r="I16" s="397">
        <v>0</v>
      </c>
      <c r="J16" s="397">
        <f>výdavky!F206</f>
        <v>0</v>
      </c>
      <c r="K16" s="397">
        <f>výdavky!G206</f>
        <v>160</v>
      </c>
      <c r="L16" s="397">
        <f>výdavky!H206</f>
        <v>0</v>
      </c>
    </row>
    <row r="17" spans="1:12" ht="12.75">
      <c r="A17" s="343">
        <f t="shared" si="0"/>
        <v>11</v>
      </c>
      <c r="B17" s="407"/>
      <c r="C17" s="436" t="s">
        <v>255</v>
      </c>
      <c r="D17" s="510" t="s">
        <v>281</v>
      </c>
      <c r="E17" s="545" t="s">
        <v>366</v>
      </c>
      <c r="F17" s="546"/>
      <c r="G17" s="426"/>
      <c r="H17" s="397">
        <f>výdavky!D208</f>
        <v>70000</v>
      </c>
      <c r="I17" s="397">
        <f>výdavky!E208</f>
        <v>32895.48</v>
      </c>
      <c r="J17" s="397">
        <f>výdavky!F208</f>
        <v>70000</v>
      </c>
      <c r="K17" s="397">
        <f>výdavky!G208</f>
        <v>66200</v>
      </c>
      <c r="L17" s="397">
        <f>výdavky!H208</f>
        <v>0</v>
      </c>
    </row>
    <row r="18" spans="1:12" ht="12.75">
      <c r="A18" s="343"/>
      <c r="B18" s="505"/>
      <c r="C18" s="436" t="s">
        <v>255</v>
      </c>
      <c r="D18" s="437" t="s">
        <v>283</v>
      </c>
      <c r="E18" s="394" t="s">
        <v>367</v>
      </c>
      <c r="F18" s="395"/>
      <c r="G18" s="605"/>
      <c r="H18" s="392">
        <v>0</v>
      </c>
      <c r="I18" s="392">
        <f>SUM(výdavky!E209)</f>
        <v>4438.78</v>
      </c>
      <c r="J18" s="392">
        <f>SUM(výdavky!F209)</f>
        <v>4500</v>
      </c>
      <c r="K18" s="392">
        <f>výdavky!G209</f>
        <v>5805</v>
      </c>
      <c r="L18" s="392"/>
    </row>
    <row r="19" spans="1:12" ht="12.75">
      <c r="A19" s="343">
        <v>12</v>
      </c>
      <c r="B19" s="379"/>
      <c r="C19" s="387"/>
      <c r="D19" s="347" t="s">
        <v>232</v>
      </c>
      <c r="E19" s="404"/>
      <c r="F19" s="376"/>
      <c r="G19" s="377">
        <f>G21</f>
        <v>0</v>
      </c>
      <c r="H19" s="606">
        <f>H20</f>
        <v>467500</v>
      </c>
      <c r="I19" s="607">
        <f>I20</f>
        <v>5940</v>
      </c>
      <c r="J19" s="607">
        <f>J20</f>
        <v>250000</v>
      </c>
      <c r="K19" s="607">
        <f>K20</f>
        <v>250000</v>
      </c>
      <c r="L19" s="608">
        <f>L20</f>
        <v>0</v>
      </c>
    </row>
    <row r="20" spans="1:12" ht="12.75">
      <c r="A20" s="343">
        <f aca="true" t="shared" si="2" ref="A20:A25">A19+1</f>
        <v>13</v>
      </c>
      <c r="B20" s="379"/>
      <c r="C20" s="380" t="s">
        <v>368</v>
      </c>
      <c r="D20" s="381" t="s">
        <v>365</v>
      </c>
      <c r="E20" s="382"/>
      <c r="F20" s="383"/>
      <c r="G20" s="384">
        <f>SUM(G21:G25)</f>
        <v>234.29999999999998</v>
      </c>
      <c r="H20" s="609">
        <f>SUM(H21,H22)</f>
        <v>467500</v>
      </c>
      <c r="I20" s="609">
        <f>I21+SUM(I21,I22)</f>
        <v>5940</v>
      </c>
      <c r="J20" s="609">
        <f>SUM(J21,J22)</f>
        <v>250000</v>
      </c>
      <c r="K20" s="609">
        <f>SUM(K21,K22)</f>
        <v>250000</v>
      </c>
      <c r="L20" s="609">
        <f>L21+SUM(L21,L22)</f>
        <v>0</v>
      </c>
    </row>
    <row r="21" spans="1:12" ht="12.75">
      <c r="A21" s="343">
        <f t="shared" si="2"/>
        <v>14</v>
      </c>
      <c r="B21" s="407"/>
      <c r="C21" s="436" t="s">
        <v>348</v>
      </c>
      <c r="D21" s="437" t="s">
        <v>287</v>
      </c>
      <c r="E21" s="533" t="s">
        <v>369</v>
      </c>
      <c r="F21" s="405"/>
      <c r="G21" s="406"/>
      <c r="H21" s="397">
        <f>SUM(výdavky!D436)</f>
        <v>467500</v>
      </c>
      <c r="I21" s="397">
        <f>SUM(výdavky!E436)</f>
        <v>0</v>
      </c>
      <c r="J21" s="397">
        <f>SUM(výdavky!F436)</f>
        <v>244060</v>
      </c>
      <c r="K21" s="397">
        <f>výdavky!G436</f>
        <v>244060</v>
      </c>
      <c r="L21" s="397">
        <v>0</v>
      </c>
    </row>
    <row r="22" spans="1:12" ht="12.75">
      <c r="A22" s="343">
        <f t="shared" si="2"/>
        <v>15</v>
      </c>
      <c r="B22" s="407"/>
      <c r="C22" s="436" t="s">
        <v>348</v>
      </c>
      <c r="D22" s="437" t="s">
        <v>290</v>
      </c>
      <c r="E22" s="533" t="s">
        <v>370</v>
      </c>
      <c r="F22" s="405"/>
      <c r="G22" s="406"/>
      <c r="H22" s="397">
        <v>0</v>
      </c>
      <c r="I22" s="397">
        <f>SUM(výdavky!E435)</f>
        <v>5940</v>
      </c>
      <c r="J22" s="397">
        <f>SUM(výdavky!F435)</f>
        <v>5940</v>
      </c>
      <c r="K22" s="397">
        <f>výdavky!G435</f>
        <v>5940</v>
      </c>
      <c r="L22" s="397">
        <v>0</v>
      </c>
    </row>
    <row r="23" spans="1:12" ht="12.75">
      <c r="A23" s="343">
        <f t="shared" si="2"/>
        <v>16</v>
      </c>
      <c r="B23" s="358">
        <v>2</v>
      </c>
      <c r="C23" s="610" t="s">
        <v>371</v>
      </c>
      <c r="D23" s="360"/>
      <c r="E23" s="360"/>
      <c r="F23" s="361"/>
      <c r="G23" s="362">
        <f>SUM(G25)</f>
        <v>78.1</v>
      </c>
      <c r="H23" s="364">
        <f aca="true" t="shared" si="3" ref="H23:L24">H24</f>
        <v>26300</v>
      </c>
      <c r="I23" s="364">
        <f t="shared" si="3"/>
        <v>10100.869999999999</v>
      </c>
      <c r="J23" s="364">
        <f t="shared" si="3"/>
        <v>18020</v>
      </c>
      <c r="K23" s="364">
        <f t="shared" si="3"/>
        <v>18270</v>
      </c>
      <c r="L23" s="364">
        <f t="shared" si="3"/>
        <v>0</v>
      </c>
    </row>
    <row r="24" spans="1:12" s="413" customFormat="1" ht="12.75">
      <c r="A24" s="343">
        <f t="shared" si="2"/>
        <v>17</v>
      </c>
      <c r="B24" s="373"/>
      <c r="C24" s="611"/>
      <c r="D24" s="348" t="s">
        <v>230</v>
      </c>
      <c r="E24" s="375"/>
      <c r="F24" s="376"/>
      <c r="G24" s="377">
        <f>G25</f>
        <v>78.1</v>
      </c>
      <c r="H24" s="378">
        <f t="shared" si="3"/>
        <v>26300</v>
      </c>
      <c r="I24" s="378">
        <f t="shared" si="3"/>
        <v>10100.869999999999</v>
      </c>
      <c r="J24" s="378">
        <f t="shared" si="3"/>
        <v>18020</v>
      </c>
      <c r="K24" s="378">
        <f t="shared" si="3"/>
        <v>18270</v>
      </c>
      <c r="L24" s="378">
        <f t="shared" si="3"/>
        <v>0</v>
      </c>
    </row>
    <row r="25" spans="1:12" ht="12.75">
      <c r="A25" s="343">
        <f t="shared" si="2"/>
        <v>18</v>
      </c>
      <c r="B25" s="407"/>
      <c r="C25" s="612" t="s">
        <v>372</v>
      </c>
      <c r="D25" s="415" t="s">
        <v>371</v>
      </c>
      <c r="E25" s="507"/>
      <c r="F25" s="508"/>
      <c r="G25" s="417">
        <f>G38</f>
        <v>78.1</v>
      </c>
      <c r="H25" s="385">
        <f>H38+SUM(H26,H27,H28,H29,H30,H33)</f>
        <v>26300</v>
      </c>
      <c r="I25" s="385">
        <f>I38+SUM(I26,I27,I28,I29,I30,I33)</f>
        <v>10100.869999999999</v>
      </c>
      <c r="J25" s="385">
        <f>J38+SUM(J26,J27,J28,J29,J30,J33)</f>
        <v>18020</v>
      </c>
      <c r="K25" s="385">
        <f>SUM(K26,K27,K28,K29,K30,K31,K32,K33)</f>
        <v>18270</v>
      </c>
      <c r="L25" s="385">
        <f>L38+SUM(L26,L27,L28,L29,L30,L33)</f>
        <v>0</v>
      </c>
    </row>
    <row r="26" spans="1:12" ht="12.75">
      <c r="A26" s="343">
        <v>19</v>
      </c>
      <c r="B26" s="407"/>
      <c r="C26" s="436" t="s">
        <v>239</v>
      </c>
      <c r="D26" s="423">
        <v>1</v>
      </c>
      <c r="E26" s="424" t="s">
        <v>240</v>
      </c>
      <c r="F26" s="425"/>
      <c r="G26" s="426"/>
      <c r="H26" s="397">
        <f>výdavky!D212</f>
        <v>5500</v>
      </c>
      <c r="I26" s="397">
        <f>výdavky!E212+výdavky!E223</f>
        <v>916.81</v>
      </c>
      <c r="J26" s="397">
        <f>výdavky!F212+výdavky!F223</f>
        <v>940</v>
      </c>
      <c r="K26" s="397">
        <f>výdavky!G212</f>
        <v>500</v>
      </c>
      <c r="L26" s="397">
        <f>výdavky!H212</f>
        <v>0</v>
      </c>
    </row>
    <row r="27" spans="1:12" ht="12.75">
      <c r="A27" s="343">
        <v>20</v>
      </c>
      <c r="B27" s="407"/>
      <c r="C27" s="436" t="s">
        <v>241</v>
      </c>
      <c r="D27" s="423">
        <v>2</v>
      </c>
      <c r="E27" s="424" t="s">
        <v>242</v>
      </c>
      <c r="F27" s="425"/>
      <c r="G27" s="426"/>
      <c r="H27" s="397">
        <f>výdavky!D213</f>
        <v>1800</v>
      </c>
      <c r="I27" s="397">
        <f>výdavky!E213+výdavky!E224</f>
        <v>405.54</v>
      </c>
      <c r="J27" s="397">
        <f>výdavky!F213+výdavky!F224</f>
        <v>430</v>
      </c>
      <c r="K27" s="397">
        <f>výdavky!G213</f>
        <v>350</v>
      </c>
      <c r="L27" s="397">
        <f>výdavky!H213</f>
        <v>0</v>
      </c>
    </row>
    <row r="28" spans="1:12" ht="12.75">
      <c r="A28" s="343">
        <v>21</v>
      </c>
      <c r="B28" s="407"/>
      <c r="C28" s="436" t="s">
        <v>245</v>
      </c>
      <c r="D28" s="423">
        <v>3</v>
      </c>
      <c r="E28" s="424" t="s">
        <v>246</v>
      </c>
      <c r="F28" s="425"/>
      <c r="G28" s="426"/>
      <c r="H28" s="397">
        <f>výdavky!D214</f>
        <v>6000</v>
      </c>
      <c r="I28" s="397">
        <f>výdavky!E214</f>
        <v>3647.73</v>
      </c>
      <c r="J28" s="397">
        <f>výdavky!F214</f>
        <v>7000</v>
      </c>
      <c r="K28" s="397">
        <f>výdavky!G214</f>
        <v>5000</v>
      </c>
      <c r="L28" s="397">
        <f>výdavky!H214</f>
        <v>0</v>
      </c>
    </row>
    <row r="29" spans="1:12" ht="12.75">
      <c r="A29" s="343">
        <v>22</v>
      </c>
      <c r="B29" s="407"/>
      <c r="C29" s="436" t="s">
        <v>247</v>
      </c>
      <c r="D29" s="423">
        <v>4</v>
      </c>
      <c r="E29" s="424" t="s">
        <v>248</v>
      </c>
      <c r="F29" s="425"/>
      <c r="G29" s="426"/>
      <c r="H29" s="397">
        <f>výdavky!D215</f>
        <v>0</v>
      </c>
      <c r="I29" s="397">
        <f>výdavky!E215</f>
        <v>87.25</v>
      </c>
      <c r="J29" s="397">
        <f>výdavky!F215</f>
        <v>100</v>
      </c>
      <c r="K29" s="397">
        <f>výdavky!G215</f>
        <v>100</v>
      </c>
      <c r="L29" s="397">
        <f>výdavky!H215</f>
        <v>0</v>
      </c>
    </row>
    <row r="30" spans="1:12" ht="12.75">
      <c r="A30" s="343">
        <v>23</v>
      </c>
      <c r="B30" s="407"/>
      <c r="C30" s="436" t="s">
        <v>249</v>
      </c>
      <c r="D30" s="423">
        <v>5</v>
      </c>
      <c r="E30" s="424" t="s">
        <v>250</v>
      </c>
      <c r="F30" s="425"/>
      <c r="G30" s="426"/>
      <c r="H30" s="397">
        <f>výdavky!D216</f>
        <v>9500</v>
      </c>
      <c r="I30" s="397">
        <f>výdavky!E216</f>
        <v>2897.3</v>
      </c>
      <c r="J30" s="397">
        <f>výdavky!F216</f>
        <v>6050</v>
      </c>
      <c r="K30" s="397">
        <f>výdavky!G216</f>
        <v>7150</v>
      </c>
      <c r="L30" s="397">
        <f>výdavky!H216</f>
        <v>0</v>
      </c>
    </row>
    <row r="31" spans="1:12" ht="12.75">
      <c r="A31" s="343"/>
      <c r="B31" s="407"/>
      <c r="C31" s="436" t="s">
        <v>251</v>
      </c>
      <c r="D31" s="423">
        <v>6</v>
      </c>
      <c r="E31" s="424" t="s">
        <v>334</v>
      </c>
      <c r="F31" s="425"/>
      <c r="G31" s="426"/>
      <c r="H31" s="397"/>
      <c r="I31" s="397"/>
      <c r="J31" s="397"/>
      <c r="K31" s="397">
        <f>výdavky!G220</f>
        <v>1050</v>
      </c>
      <c r="L31" s="397"/>
    </row>
    <row r="32" spans="1:12" ht="12.75">
      <c r="A32" s="343"/>
      <c r="B32" s="407"/>
      <c r="C32" s="436" t="s">
        <v>265</v>
      </c>
      <c r="D32" s="423">
        <v>7</v>
      </c>
      <c r="E32" s="424" t="s">
        <v>373</v>
      </c>
      <c r="F32" s="425"/>
      <c r="G32" s="426"/>
      <c r="H32" s="397"/>
      <c r="I32" s="397"/>
      <c r="J32" s="397"/>
      <c r="K32" s="397">
        <f>výdavky!G222+výdavky!G223+výdavky!G224</f>
        <v>620</v>
      </c>
      <c r="L32" s="397"/>
    </row>
    <row r="33" spans="1:12" ht="12.75">
      <c r="A33" s="343">
        <v>24</v>
      </c>
      <c r="B33" s="407"/>
      <c r="C33" s="436" t="s">
        <v>255</v>
      </c>
      <c r="D33" s="423">
        <v>8</v>
      </c>
      <c r="E33" s="424" t="s">
        <v>374</v>
      </c>
      <c r="F33" s="425"/>
      <c r="G33" s="426"/>
      <c r="H33" s="397">
        <f>výdavky!D221</f>
        <v>3500</v>
      </c>
      <c r="I33" s="397">
        <f>výdavky!E221</f>
        <v>2146.24</v>
      </c>
      <c r="J33" s="397">
        <f>výdavky!F221</f>
        <v>3500</v>
      </c>
      <c r="K33" s="397">
        <f>výdavky!G221</f>
        <v>3500</v>
      </c>
      <c r="L33" s="397">
        <f>výdavky!H221</f>
        <v>0</v>
      </c>
    </row>
    <row r="34" spans="1:12" ht="12.75">
      <c r="A34" s="343">
        <v>25</v>
      </c>
      <c r="B34" s="407"/>
      <c r="C34" s="436"/>
      <c r="D34" s="1262" t="s">
        <v>232</v>
      </c>
      <c r="E34" s="1262"/>
      <c r="F34" s="577"/>
      <c r="G34" s="613"/>
      <c r="H34" s="579">
        <f>SUM(H35)</f>
        <v>0</v>
      </c>
      <c r="I34" s="579">
        <f>SUM(I35)</f>
        <v>0</v>
      </c>
      <c r="J34" s="579">
        <f>SUM(J35)</f>
        <v>20000</v>
      </c>
      <c r="K34" s="579">
        <f>SUM(K35)</f>
        <v>20000</v>
      </c>
      <c r="L34" s="579">
        <f>SUM(L35)</f>
        <v>0</v>
      </c>
    </row>
    <row r="35" spans="1:12" ht="12.75">
      <c r="A35" s="343">
        <v>26</v>
      </c>
      <c r="B35" s="407"/>
      <c r="C35" s="612" t="s">
        <v>372</v>
      </c>
      <c r="D35" s="1265" t="s">
        <v>371</v>
      </c>
      <c r="E35" s="1265"/>
      <c r="F35" s="508"/>
      <c r="G35" s="417"/>
      <c r="H35" s="614">
        <f>SUM(H36,H37,H38)</f>
        <v>0</v>
      </c>
      <c r="I35" s="614">
        <f>SUM(I36,I37,I38)</f>
        <v>0</v>
      </c>
      <c r="J35" s="614">
        <f>SUM(J36,J37,J38)</f>
        <v>20000</v>
      </c>
      <c r="K35" s="614">
        <f>SUM(K36,K37,K38)</f>
        <v>20000</v>
      </c>
      <c r="L35" s="614">
        <f>SUM(L36,L37,L38)</f>
        <v>0</v>
      </c>
    </row>
    <row r="36" spans="1:12" ht="12.75">
      <c r="A36" s="615">
        <v>27</v>
      </c>
      <c r="B36" s="407"/>
      <c r="C36" s="436" t="s">
        <v>348</v>
      </c>
      <c r="D36" s="423">
        <v>9</v>
      </c>
      <c r="E36" s="424" t="s">
        <v>370</v>
      </c>
      <c r="F36" s="395"/>
      <c r="G36" s="616"/>
      <c r="H36" s="397">
        <v>0</v>
      </c>
      <c r="I36" s="397">
        <v>0</v>
      </c>
      <c r="J36" s="617">
        <f>výdavky!F431</f>
        <v>20000</v>
      </c>
      <c r="K36" s="397">
        <f>výdavky!G431</f>
        <v>20000</v>
      </c>
      <c r="L36" s="397">
        <f>výdavky!H431</f>
        <v>0</v>
      </c>
    </row>
    <row r="37" spans="1:12" ht="12.75">
      <c r="A37" s="343">
        <v>28</v>
      </c>
      <c r="B37" s="407"/>
      <c r="C37" s="436"/>
      <c r="D37" s="618">
        <v>10</v>
      </c>
      <c r="E37" s="619"/>
      <c r="F37" s="546"/>
      <c r="G37" s="620"/>
      <c r="H37" s="403"/>
      <c r="I37" s="403"/>
      <c r="J37" s="403"/>
      <c r="K37" s="403"/>
      <c r="L37" s="403"/>
    </row>
    <row r="38" spans="1:12" s="413" customFormat="1" ht="12.75">
      <c r="A38" s="343">
        <v>29</v>
      </c>
      <c r="B38" s="412"/>
      <c r="C38" s="436"/>
      <c r="D38" s="423">
        <v>11</v>
      </c>
      <c r="E38" s="424"/>
      <c r="F38" s="425"/>
      <c r="G38" s="406">
        <v>78.1</v>
      </c>
      <c r="H38" s="397"/>
      <c r="I38" s="397"/>
      <c r="J38" s="397"/>
      <c r="K38" s="397"/>
      <c r="L38" s="397"/>
    </row>
    <row r="39" spans="1:12" ht="12.75">
      <c r="A39" s="621">
        <v>30</v>
      </c>
      <c r="B39" s="456">
        <v>3</v>
      </c>
      <c r="C39" s="622" t="s">
        <v>375</v>
      </c>
      <c r="D39" s="623"/>
      <c r="E39" s="623"/>
      <c r="F39" s="623"/>
      <c r="G39" s="623"/>
      <c r="H39" s="624">
        <f>SUM(H40)</f>
        <v>0</v>
      </c>
      <c r="I39" s="624">
        <f>SUM(I40)</f>
        <v>0</v>
      </c>
      <c r="J39" s="624">
        <f>SUM(J40)</f>
        <v>0</v>
      </c>
      <c r="K39" s="624">
        <f>SUM(K40)</f>
        <v>0</v>
      </c>
      <c r="L39" s="624">
        <f>SUM(L40)</f>
        <v>0</v>
      </c>
    </row>
    <row r="40" spans="1:12" ht="12.75">
      <c r="A40" s="343">
        <v>31</v>
      </c>
      <c r="B40" s="625"/>
      <c r="C40" s="307"/>
      <c r="D40" s="626" t="s">
        <v>230</v>
      </c>
      <c r="E40" s="627"/>
      <c r="F40" s="628"/>
      <c r="G40" s="629">
        <f aca="true" t="shared" si="4" ref="G40:L40">G41</f>
        <v>0</v>
      </c>
      <c r="H40" s="607">
        <f t="shared" si="4"/>
        <v>0</v>
      </c>
      <c r="I40" s="607">
        <f t="shared" si="4"/>
        <v>0</v>
      </c>
      <c r="J40" s="607">
        <f t="shared" si="4"/>
        <v>0</v>
      </c>
      <c r="K40" s="607">
        <f t="shared" si="4"/>
        <v>0</v>
      </c>
      <c r="L40" s="607">
        <f t="shared" si="4"/>
        <v>0</v>
      </c>
    </row>
    <row r="41" spans="1:12" ht="12.75">
      <c r="A41" s="343">
        <v>32</v>
      </c>
      <c r="B41" s="625"/>
      <c r="C41" s="612" t="s">
        <v>376</v>
      </c>
      <c r="D41" s="630" t="s">
        <v>375</v>
      </c>
      <c r="E41" s="631"/>
      <c r="F41" s="632"/>
      <c r="G41" s="633">
        <f>G52</f>
        <v>0</v>
      </c>
      <c r="H41" s="634">
        <f>SUM(H42,H43)</f>
        <v>0</v>
      </c>
      <c r="I41" s="634">
        <f>SUM(I42,I43)</f>
        <v>0</v>
      </c>
      <c r="J41" s="634">
        <f>SUM(J42,J43)</f>
        <v>0</v>
      </c>
      <c r="K41" s="634">
        <f>SUM(K42,K43)</f>
        <v>0</v>
      </c>
      <c r="L41" s="634">
        <f>SUM(L42,L43)</f>
        <v>0</v>
      </c>
    </row>
    <row r="42" spans="1:12" ht="12.75">
      <c r="A42" s="343">
        <v>33</v>
      </c>
      <c r="B42" s="625"/>
      <c r="C42" s="635">
        <v>633</v>
      </c>
      <c r="D42" s="444">
        <v>1</v>
      </c>
      <c r="E42" s="1263" t="s">
        <v>377</v>
      </c>
      <c r="F42" s="1263"/>
      <c r="G42" s="445"/>
      <c r="H42" s="636">
        <f>SUM(výdavky!D227)</f>
        <v>0</v>
      </c>
      <c r="I42" s="636">
        <f>SUM(výdavky!E227)</f>
        <v>0</v>
      </c>
      <c r="J42" s="636">
        <f>SUM(výdavky!F227)</f>
        <v>0</v>
      </c>
      <c r="K42" s="636">
        <f>SUM(výdavky!G227)</f>
        <v>0</v>
      </c>
      <c r="L42" s="636">
        <f>SUM(výdavky!H227)</f>
        <v>0</v>
      </c>
    </row>
    <row r="43" spans="1:12" ht="12.75">
      <c r="A43" s="468">
        <v>34</v>
      </c>
      <c r="B43" s="637"/>
      <c r="C43" s="563">
        <v>637</v>
      </c>
      <c r="D43" s="561">
        <v>2</v>
      </c>
      <c r="E43" s="1264" t="s">
        <v>378</v>
      </c>
      <c r="F43" s="1264"/>
      <c r="G43" s="567"/>
      <c r="H43" s="638">
        <f>SUM(výdavky!D228)</f>
        <v>0</v>
      </c>
      <c r="I43" s="638">
        <f>SUM(výdavky!E228)</f>
        <v>0</v>
      </c>
      <c r="J43" s="638">
        <f>SUM(výdavky!F228)</f>
        <v>0</v>
      </c>
      <c r="K43" s="638">
        <f>SUM(výdavky!G228)</f>
        <v>0</v>
      </c>
      <c r="L43" s="638">
        <f>SUM(výdavky!H228)</f>
        <v>0</v>
      </c>
    </row>
    <row r="44" spans="3:12" ht="12.75">
      <c r="C44" s="443"/>
      <c r="D44" s="443"/>
      <c r="E44" s="443"/>
      <c r="F44" s="443"/>
      <c r="G44" s="443"/>
      <c r="H44" s="443"/>
      <c r="I44" s="443"/>
      <c r="J44" s="443"/>
      <c r="K44" s="443"/>
      <c r="L44" s="443"/>
    </row>
    <row r="45" spans="3:12" ht="12.75">
      <c r="C45" s="443"/>
      <c r="D45" s="443"/>
      <c r="E45" s="443"/>
      <c r="F45" s="443"/>
      <c r="G45" s="443"/>
      <c r="H45" s="443"/>
      <c r="I45" s="443"/>
      <c r="J45" s="443"/>
      <c r="K45" s="443"/>
      <c r="L45" s="443"/>
    </row>
  </sheetData>
  <sheetProtection/>
  <mergeCells count="6">
    <mergeCell ref="E42:F42"/>
    <mergeCell ref="E43:F43"/>
    <mergeCell ref="G3:L3"/>
    <mergeCell ref="D4:F6"/>
    <mergeCell ref="D34:E34"/>
    <mergeCell ref="D35:E35"/>
  </mergeCells>
  <printOptions/>
  <pageMargins left="0.7875" right="0.19652777777777777" top="0.7875" bottom="0.7875" header="0.5118055555555556" footer="0.5118055555555556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3.57421875" style="306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2" width="9.7109375" style="0" customWidth="1"/>
  </cols>
  <sheetData>
    <row r="1" spans="2:12" ht="15.75">
      <c r="B1" s="310" t="s">
        <v>379</v>
      </c>
      <c r="E1" s="310" t="s">
        <v>380</v>
      </c>
      <c r="F1" s="308"/>
      <c r="G1" s="476" t="e">
        <f>G2-G7</f>
        <v>#REF!</v>
      </c>
      <c r="H1" s="476"/>
      <c r="I1" s="476"/>
      <c r="J1" s="477">
        <f>J2-J7</f>
        <v>0</v>
      </c>
      <c r="K1" s="477">
        <f>K2-K7</f>
        <v>0</v>
      </c>
      <c r="L1" s="477">
        <f>L2-L7</f>
        <v>0</v>
      </c>
    </row>
    <row r="2" spans="2:12" ht="15.75">
      <c r="B2" s="310"/>
      <c r="G2" s="478" t="e">
        <f>SUM(G8:G10)</f>
        <v>#REF!</v>
      </c>
      <c r="H2" s="478"/>
      <c r="I2" s="478"/>
      <c r="J2" s="318">
        <f>SUM(J8:J10)</f>
        <v>44710</v>
      </c>
      <c r="K2" s="318">
        <f>SUM(K8:K10)</f>
        <v>19204</v>
      </c>
      <c r="L2" s="318">
        <f>SUM(L8:L10)</f>
        <v>0</v>
      </c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1.25" customHeight="1">
      <c r="A4" s="324"/>
      <c r="B4" s="325" t="s">
        <v>216</v>
      </c>
      <c r="C4" s="326" t="s">
        <v>217</v>
      </c>
      <c r="D4" s="1260" t="s">
        <v>218</v>
      </c>
      <c r="E4" s="1260"/>
      <c r="F4" s="1260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5" customHeight="1">
      <c r="A5" s="324"/>
      <c r="B5" s="325" t="s">
        <v>221</v>
      </c>
      <c r="C5" s="326" t="s">
        <v>222</v>
      </c>
      <c r="D5" s="1260"/>
      <c r="E5" s="1260"/>
      <c r="F5" s="1260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479"/>
      <c r="B6" s="480" t="s">
        <v>226</v>
      </c>
      <c r="C6" s="481" t="s">
        <v>227</v>
      </c>
      <c r="D6" s="1260"/>
      <c r="E6" s="1260"/>
      <c r="F6" s="1260"/>
      <c r="G6" s="482">
        <v>1</v>
      </c>
      <c r="H6" s="333">
        <v>0</v>
      </c>
      <c r="I6" s="333">
        <v>1</v>
      </c>
      <c r="J6" s="483">
        <v>2</v>
      </c>
      <c r="K6" s="335">
        <v>3</v>
      </c>
      <c r="L6" s="335">
        <v>4</v>
      </c>
    </row>
    <row r="7" spans="1:12" ht="15">
      <c r="A7" s="343">
        <v>1</v>
      </c>
      <c r="B7" s="485" t="s">
        <v>379</v>
      </c>
      <c r="C7" s="486"/>
      <c r="D7" s="487"/>
      <c r="E7" s="488" t="s">
        <v>380</v>
      </c>
      <c r="F7" s="489"/>
      <c r="G7" s="490" t="e">
        <f>G11+G23</f>
        <v>#REF!</v>
      </c>
      <c r="H7" s="342">
        <f>SUM(H8:H10)</f>
        <v>77984</v>
      </c>
      <c r="I7" s="342">
        <f>SUM(I8:I10)</f>
        <v>6540.630000000001</v>
      </c>
      <c r="J7" s="491">
        <f>SUM(J8:J10)</f>
        <v>44710</v>
      </c>
      <c r="K7" s="342">
        <f>SUM(K8:K10)</f>
        <v>19204</v>
      </c>
      <c r="L7" s="342">
        <f>SUM(L8:L10)</f>
        <v>0</v>
      </c>
    </row>
    <row r="8" spans="1:12" ht="12.75">
      <c r="A8" s="343">
        <f aca="true" t="shared" si="0" ref="A8:A17">A7+1</f>
        <v>2</v>
      </c>
      <c r="B8" s="492" t="s">
        <v>229</v>
      </c>
      <c r="C8" s="345" t="s">
        <v>230</v>
      </c>
      <c r="D8" s="346"/>
      <c r="E8" s="347"/>
      <c r="F8" s="348"/>
      <c r="G8" s="493" t="e">
        <f>G12+G24</f>
        <v>#REF!</v>
      </c>
      <c r="H8" s="495">
        <f>SUM(H12+H24)</f>
        <v>17984</v>
      </c>
      <c r="I8" s="495">
        <f>SUM(I12+I24)</f>
        <v>6540.630000000001</v>
      </c>
      <c r="J8" s="494">
        <f>SUM(J12+J24)</f>
        <v>17750</v>
      </c>
      <c r="K8" s="495">
        <f>SUM(K12+K24)</f>
        <v>15000</v>
      </c>
      <c r="L8" s="495">
        <f>SUM(L12+L24)</f>
        <v>0</v>
      </c>
    </row>
    <row r="9" spans="1:12" ht="12.75">
      <c r="A9" s="343">
        <f t="shared" si="0"/>
        <v>3</v>
      </c>
      <c r="B9" s="492" t="s">
        <v>231</v>
      </c>
      <c r="C9" s="345" t="s">
        <v>232</v>
      </c>
      <c r="D9" s="346"/>
      <c r="E9" s="347"/>
      <c r="F9" s="348"/>
      <c r="G9" s="493" t="e">
        <f>#REF!</f>
        <v>#REF!</v>
      </c>
      <c r="H9" s="495">
        <f>H18+H30</f>
        <v>60000</v>
      </c>
      <c r="I9" s="495">
        <f>I18+I30</f>
        <v>0</v>
      </c>
      <c r="J9" s="495">
        <f>J18+J30</f>
        <v>26960</v>
      </c>
      <c r="K9" s="495">
        <f>K18+K30</f>
        <v>4204</v>
      </c>
      <c r="L9" s="495">
        <f>L18+L30</f>
        <v>0</v>
      </c>
    </row>
    <row r="10" spans="1:12" ht="12.75">
      <c r="A10" s="343">
        <f t="shared" si="0"/>
        <v>4</v>
      </c>
      <c r="B10" s="497"/>
      <c r="C10" s="352" t="s">
        <v>233</v>
      </c>
      <c r="D10" s="353"/>
      <c r="E10" s="354"/>
      <c r="F10" s="355"/>
      <c r="G10" s="498">
        <v>0</v>
      </c>
      <c r="H10" s="495">
        <v>0</v>
      </c>
      <c r="I10" s="495">
        <v>0</v>
      </c>
      <c r="J10" s="494">
        <v>0</v>
      </c>
      <c r="K10" s="495">
        <v>0</v>
      </c>
      <c r="L10" s="495">
        <v>0</v>
      </c>
    </row>
    <row r="11" spans="1:12" ht="12.75">
      <c r="A11" s="343">
        <f t="shared" si="0"/>
        <v>5</v>
      </c>
      <c r="B11" s="501">
        <v>1</v>
      </c>
      <c r="C11" s="461" t="s">
        <v>381</v>
      </c>
      <c r="D11" s="360"/>
      <c r="E11" s="360"/>
      <c r="F11" s="361"/>
      <c r="G11" s="362" t="e">
        <f>SUM(G13)+#REF!</f>
        <v>#REF!</v>
      </c>
      <c r="H11" s="363">
        <f>SUM(H12,H18)</f>
        <v>62334</v>
      </c>
      <c r="I11" s="363">
        <f>SUM(I12,I18)</f>
        <v>307.97</v>
      </c>
      <c r="J11" s="363">
        <f>SUM(J12,J18)</f>
        <v>29060</v>
      </c>
      <c r="K11" s="363">
        <f>SUM(K12,K18)</f>
        <v>6304</v>
      </c>
      <c r="L11" s="363">
        <f>SUM(L12,L18)</f>
        <v>0</v>
      </c>
    </row>
    <row r="12" spans="1:12" s="413" customFormat="1" ht="12.75">
      <c r="A12" s="343">
        <f t="shared" si="0"/>
        <v>6</v>
      </c>
      <c r="B12" s="503"/>
      <c r="C12" s="374"/>
      <c r="D12" s="348" t="s">
        <v>230</v>
      </c>
      <c r="E12" s="375"/>
      <c r="F12" s="376"/>
      <c r="G12" s="377" t="e">
        <f aca="true" t="shared" si="1" ref="G12:L12">G13</f>
        <v>#REF!</v>
      </c>
      <c r="H12" s="378">
        <f t="shared" si="1"/>
        <v>2334</v>
      </c>
      <c r="I12" s="378">
        <f t="shared" si="1"/>
        <v>307.97</v>
      </c>
      <c r="J12" s="378">
        <f t="shared" si="1"/>
        <v>2100</v>
      </c>
      <c r="K12" s="378">
        <f t="shared" si="1"/>
        <v>2100</v>
      </c>
      <c r="L12" s="378">
        <f t="shared" si="1"/>
        <v>0</v>
      </c>
    </row>
    <row r="13" spans="1:12" ht="12.75">
      <c r="A13" s="343">
        <f t="shared" si="0"/>
        <v>7</v>
      </c>
      <c r="B13" s="505"/>
      <c r="C13" s="506" t="s">
        <v>382</v>
      </c>
      <c r="D13" s="415" t="s">
        <v>381</v>
      </c>
      <c r="E13" s="507"/>
      <c r="F13" s="508"/>
      <c r="G13" s="417" t="e">
        <f>SUM(#REF!)</f>
        <v>#REF!</v>
      </c>
      <c r="H13" s="385">
        <f>SUM(H14,H15,H16,H17)</f>
        <v>2334</v>
      </c>
      <c r="I13" s="385">
        <f>SUM(I14,I15,I16,I17)</f>
        <v>307.97</v>
      </c>
      <c r="J13" s="385">
        <f>SUM(J14,J15,J16,J17)</f>
        <v>2100</v>
      </c>
      <c r="K13" s="385">
        <f>SUM(K14,K15,K16,K17)</f>
        <v>2100</v>
      </c>
      <c r="L13" s="385">
        <f>SUM(L14,L15,L16,L17)</f>
        <v>0</v>
      </c>
    </row>
    <row r="14" spans="1:12" ht="12.75">
      <c r="A14" s="343">
        <f t="shared" si="0"/>
        <v>8</v>
      </c>
      <c r="B14" s="505"/>
      <c r="C14" s="436" t="s">
        <v>239</v>
      </c>
      <c r="D14" s="437" t="s">
        <v>266</v>
      </c>
      <c r="E14" s="394" t="s">
        <v>240</v>
      </c>
      <c r="F14" s="425"/>
      <c r="G14" s="426"/>
      <c r="H14" s="397">
        <f>výdavky!D237</f>
        <v>0</v>
      </c>
      <c r="I14" s="397">
        <f>výdavky!E237</f>
        <v>0</v>
      </c>
      <c r="J14" s="397">
        <f>výdavky!F237</f>
        <v>0</v>
      </c>
      <c r="K14" s="397">
        <f>výdavky!G237</f>
        <v>0</v>
      </c>
      <c r="L14" s="397">
        <f>výdavky!H237</f>
        <v>0</v>
      </c>
    </row>
    <row r="15" spans="1:12" ht="12.75">
      <c r="A15" s="343">
        <f t="shared" si="0"/>
        <v>9</v>
      </c>
      <c r="B15" s="505"/>
      <c r="C15" s="436" t="s">
        <v>245</v>
      </c>
      <c r="D15" s="437" t="s">
        <v>268</v>
      </c>
      <c r="E15" s="394" t="s">
        <v>246</v>
      </c>
      <c r="F15" s="425"/>
      <c r="G15" s="426"/>
      <c r="H15" s="397">
        <f>výdavky!D238</f>
        <v>100</v>
      </c>
      <c r="I15" s="397">
        <f>výdavky!E238</f>
        <v>0</v>
      </c>
      <c r="J15" s="397">
        <f>výdavky!F238</f>
        <v>0</v>
      </c>
      <c r="K15" s="397">
        <f>výdavky!G238</f>
        <v>0</v>
      </c>
      <c r="L15" s="397">
        <f>výdavky!H238</f>
        <v>0</v>
      </c>
    </row>
    <row r="16" spans="1:12" ht="12.75">
      <c r="A16" s="343">
        <f t="shared" si="0"/>
        <v>10</v>
      </c>
      <c r="B16" s="505"/>
      <c r="C16" s="436" t="s">
        <v>255</v>
      </c>
      <c r="D16" s="437" t="s">
        <v>279</v>
      </c>
      <c r="E16" s="394" t="s">
        <v>256</v>
      </c>
      <c r="F16" s="425"/>
      <c r="G16" s="426"/>
      <c r="H16" s="397">
        <f>výdavky!D239</f>
        <v>2000</v>
      </c>
      <c r="I16" s="397">
        <f>výdavky!E239</f>
        <v>247.86</v>
      </c>
      <c r="J16" s="397">
        <f>výdavky!F239</f>
        <v>2000</v>
      </c>
      <c r="K16" s="397">
        <f>výdavky!G239</f>
        <v>2000</v>
      </c>
      <c r="L16" s="397">
        <f>výdavky!H239</f>
        <v>0</v>
      </c>
    </row>
    <row r="17" spans="1:12" ht="12.75">
      <c r="A17" s="343">
        <f t="shared" si="0"/>
        <v>11</v>
      </c>
      <c r="B17" s="505"/>
      <c r="C17" s="436" t="s">
        <v>255</v>
      </c>
      <c r="D17" s="437" t="s">
        <v>281</v>
      </c>
      <c r="E17" s="639" t="s">
        <v>383</v>
      </c>
      <c r="F17" s="640"/>
      <c r="G17" s="641"/>
      <c r="H17" s="397">
        <f>výdavky!D240</f>
        <v>234</v>
      </c>
      <c r="I17" s="397">
        <f>výdavky!E240</f>
        <v>60.11</v>
      </c>
      <c r="J17" s="397">
        <f>výdavky!F240</f>
        <v>100</v>
      </c>
      <c r="K17" s="397">
        <f>výdavky!G240</f>
        <v>100</v>
      </c>
      <c r="L17" s="397">
        <f>výdavky!H240</f>
        <v>0</v>
      </c>
    </row>
    <row r="18" spans="1:12" ht="12.75">
      <c r="A18" s="343">
        <v>12</v>
      </c>
      <c r="B18" s="379"/>
      <c r="C18" s="438"/>
      <c r="D18" s="348" t="s">
        <v>232</v>
      </c>
      <c r="E18" s="404"/>
      <c r="F18" s="376"/>
      <c r="G18" s="377">
        <f>G20</f>
        <v>0</v>
      </c>
      <c r="H18" s="378">
        <f>H19</f>
        <v>60000</v>
      </c>
      <c r="I18" s="378">
        <f>I19</f>
        <v>0</v>
      </c>
      <c r="J18" s="378">
        <f>J19</f>
        <v>26960</v>
      </c>
      <c r="K18" s="378">
        <f>K19</f>
        <v>4204</v>
      </c>
      <c r="L18" s="378">
        <f>L19</f>
        <v>0</v>
      </c>
    </row>
    <row r="19" spans="1:12" ht="12.75">
      <c r="A19" s="343">
        <f>A18+1</f>
        <v>13</v>
      </c>
      <c r="B19" s="379"/>
      <c r="C19" s="380" t="s">
        <v>382</v>
      </c>
      <c r="D19" s="381" t="s">
        <v>381</v>
      </c>
      <c r="E19" s="382"/>
      <c r="F19" s="383"/>
      <c r="G19" s="384">
        <f>SUM(G20:G25)</f>
        <v>234.29999999999998</v>
      </c>
      <c r="H19" s="385">
        <f>SUM(H20,H21,H22)</f>
        <v>60000</v>
      </c>
      <c r="I19" s="385">
        <f>SUM(I20,I21,I22)</f>
        <v>0</v>
      </c>
      <c r="J19" s="385">
        <f>SUM(J20,J21,J22)</f>
        <v>26960</v>
      </c>
      <c r="K19" s="385">
        <f>SUM(K20,K21,K22)</f>
        <v>4204</v>
      </c>
      <c r="L19" s="385">
        <f>SUM(L20,L21,L22)</f>
        <v>0</v>
      </c>
    </row>
    <row r="20" spans="1:12" ht="12.75">
      <c r="A20" s="343">
        <f>A19+1</f>
        <v>14</v>
      </c>
      <c r="B20" s="505"/>
      <c r="C20" s="436" t="s">
        <v>384</v>
      </c>
      <c r="D20" s="437" t="s">
        <v>283</v>
      </c>
      <c r="E20" s="533" t="s">
        <v>385</v>
      </c>
      <c r="F20" s="405"/>
      <c r="G20" s="406"/>
      <c r="H20" s="397">
        <f>výdavky!D440</f>
        <v>0</v>
      </c>
      <c r="I20" s="397">
        <f>výdavky!E440</f>
        <v>0</v>
      </c>
      <c r="J20" s="397">
        <v>0</v>
      </c>
      <c r="K20" s="397">
        <v>0</v>
      </c>
      <c r="L20" s="397">
        <v>0</v>
      </c>
    </row>
    <row r="21" spans="1:12" ht="12.75">
      <c r="A21" s="343"/>
      <c r="B21" s="505"/>
      <c r="C21" s="436"/>
      <c r="D21" s="437" t="s">
        <v>287</v>
      </c>
      <c r="E21" s="533" t="s">
        <v>95</v>
      </c>
      <c r="F21" s="405"/>
      <c r="G21" s="406"/>
      <c r="H21" s="397">
        <f>SUM(výdavky!D439)</f>
        <v>60000</v>
      </c>
      <c r="I21" s="397">
        <v>0</v>
      </c>
      <c r="J21" s="397">
        <f>výdavky!F439</f>
        <v>26960</v>
      </c>
      <c r="K21" s="397">
        <v>0</v>
      </c>
      <c r="L21" s="397">
        <v>0</v>
      </c>
    </row>
    <row r="22" spans="1:12" ht="12.75">
      <c r="A22" s="343">
        <f>A20+1</f>
        <v>15</v>
      </c>
      <c r="B22" s="505"/>
      <c r="C22" s="436" t="s">
        <v>386</v>
      </c>
      <c r="D22" s="437" t="s">
        <v>290</v>
      </c>
      <c r="E22" s="533" t="s">
        <v>776</v>
      </c>
      <c r="F22" s="405"/>
      <c r="G22" s="406"/>
      <c r="H22" s="397">
        <f>výdavky!D443</f>
        <v>0</v>
      </c>
      <c r="I22" s="397">
        <f>výdavky!E443</f>
        <v>0</v>
      </c>
      <c r="J22" s="397">
        <v>0</v>
      </c>
      <c r="K22" s="397">
        <f>SUM(výdavky!G445)</f>
        <v>4204</v>
      </c>
      <c r="L22" s="397">
        <v>0</v>
      </c>
    </row>
    <row r="23" spans="1:12" ht="12.75">
      <c r="A23" s="343">
        <f>A22+1</f>
        <v>16</v>
      </c>
      <c r="B23" s="501">
        <v>2</v>
      </c>
      <c r="C23" s="610" t="s">
        <v>387</v>
      </c>
      <c r="D23" s="360"/>
      <c r="E23" s="360"/>
      <c r="F23" s="361"/>
      <c r="G23" s="362">
        <f>SUM(G25)</f>
        <v>78.1</v>
      </c>
      <c r="H23" s="364">
        <f aca="true" t="shared" si="2" ref="H23:L24">H24</f>
        <v>15650</v>
      </c>
      <c r="I23" s="364">
        <f t="shared" si="2"/>
        <v>6232.660000000001</v>
      </c>
      <c r="J23" s="364">
        <f t="shared" si="2"/>
        <v>15650</v>
      </c>
      <c r="K23" s="364">
        <f t="shared" si="2"/>
        <v>12900</v>
      </c>
      <c r="L23" s="364">
        <f t="shared" si="2"/>
        <v>0</v>
      </c>
    </row>
    <row r="24" spans="1:12" s="413" customFormat="1" ht="12.75">
      <c r="A24" s="343">
        <f>A23+1</f>
        <v>17</v>
      </c>
      <c r="B24" s="503"/>
      <c r="C24" s="611"/>
      <c r="D24" s="348" t="s">
        <v>230</v>
      </c>
      <c r="E24" s="375"/>
      <c r="F24" s="376"/>
      <c r="G24" s="377">
        <f>G25</f>
        <v>78.1</v>
      </c>
      <c r="H24" s="378">
        <f t="shared" si="2"/>
        <v>15650</v>
      </c>
      <c r="I24" s="378">
        <f t="shared" si="2"/>
        <v>6232.660000000001</v>
      </c>
      <c r="J24" s="378">
        <f t="shared" si="2"/>
        <v>15650</v>
      </c>
      <c r="K24" s="378">
        <f t="shared" si="2"/>
        <v>12900</v>
      </c>
      <c r="L24" s="378">
        <f t="shared" si="2"/>
        <v>0</v>
      </c>
    </row>
    <row r="25" spans="1:12" ht="12.75">
      <c r="A25" s="343">
        <f>A24+1</f>
        <v>18</v>
      </c>
      <c r="B25" s="505"/>
      <c r="C25" s="612" t="s">
        <v>388</v>
      </c>
      <c r="D25" s="415" t="s">
        <v>387</v>
      </c>
      <c r="E25" s="507"/>
      <c r="F25" s="508"/>
      <c r="G25" s="417">
        <f>G34</f>
        <v>78.1</v>
      </c>
      <c r="H25" s="385">
        <f>H34+SUM(H26,H27,H28,H29)</f>
        <v>15650</v>
      </c>
      <c r="I25" s="385">
        <f>I34+SUM(I26,I27,I28,I29)</f>
        <v>6232.660000000001</v>
      </c>
      <c r="J25" s="385">
        <f>J34+SUM(J26,J27,J28,J29)</f>
        <v>15650</v>
      </c>
      <c r="K25" s="385">
        <f>K34+SUM(K26,K27,K28,K29)</f>
        <v>12900</v>
      </c>
      <c r="L25" s="385">
        <f>L34+SUM(L26,L27,L28,L29)</f>
        <v>0</v>
      </c>
    </row>
    <row r="26" spans="1:12" ht="12.75">
      <c r="A26" s="343">
        <v>19</v>
      </c>
      <c r="B26" s="505"/>
      <c r="C26" s="436" t="s">
        <v>245</v>
      </c>
      <c r="D26" s="423">
        <v>1</v>
      </c>
      <c r="E26" s="424" t="s">
        <v>246</v>
      </c>
      <c r="F26" s="425"/>
      <c r="G26" s="426"/>
      <c r="H26" s="397">
        <f>výdavky!D243</f>
        <v>15000</v>
      </c>
      <c r="I26" s="397">
        <f>výdavky!E243</f>
        <v>6230.06</v>
      </c>
      <c r="J26" s="397">
        <f>výdavky!F243</f>
        <v>15000</v>
      </c>
      <c r="K26" s="397">
        <f>výdavky!G243</f>
        <v>12500</v>
      </c>
      <c r="L26" s="397">
        <f>výdavky!H243</f>
        <v>0</v>
      </c>
    </row>
    <row r="27" spans="1:12" ht="12.75">
      <c r="A27" s="343">
        <v>20</v>
      </c>
      <c r="B27" s="505"/>
      <c r="C27" s="436" t="s">
        <v>247</v>
      </c>
      <c r="D27" s="423">
        <v>2</v>
      </c>
      <c r="E27" s="424" t="s">
        <v>248</v>
      </c>
      <c r="F27" s="425"/>
      <c r="G27" s="426"/>
      <c r="H27" s="397">
        <f>výdavky!D244</f>
        <v>150</v>
      </c>
      <c r="I27" s="397">
        <f>výdavky!E244</f>
        <v>2.6</v>
      </c>
      <c r="J27" s="397">
        <f>výdavky!F244</f>
        <v>150</v>
      </c>
      <c r="K27" s="397">
        <f>výdavky!G244</f>
        <v>150</v>
      </c>
      <c r="L27" s="397">
        <f>výdavky!H244</f>
        <v>0</v>
      </c>
    </row>
    <row r="28" spans="1:12" ht="12.75">
      <c r="A28" s="343">
        <v>21</v>
      </c>
      <c r="B28" s="505"/>
      <c r="C28" s="436" t="s">
        <v>251</v>
      </c>
      <c r="D28" s="423">
        <v>3</v>
      </c>
      <c r="E28" s="424" t="s">
        <v>334</v>
      </c>
      <c r="F28" s="425"/>
      <c r="G28" s="426"/>
      <c r="H28" s="397">
        <f>výdavky!D245</f>
        <v>500</v>
      </c>
      <c r="I28" s="397">
        <f>výdavky!E245</f>
        <v>0</v>
      </c>
      <c r="J28" s="397">
        <f>výdavky!F245</f>
        <v>500</v>
      </c>
      <c r="K28" s="397">
        <f>výdavky!G245</f>
        <v>250</v>
      </c>
      <c r="L28" s="397">
        <f>výdavky!H245</f>
        <v>0</v>
      </c>
    </row>
    <row r="29" spans="1:12" ht="12.75">
      <c r="A29" s="343">
        <v>22</v>
      </c>
      <c r="B29" s="505"/>
      <c r="C29" s="436" t="s">
        <v>255</v>
      </c>
      <c r="D29" s="423">
        <v>4</v>
      </c>
      <c r="E29" s="424" t="s">
        <v>256</v>
      </c>
      <c r="F29" s="425"/>
      <c r="G29" s="426"/>
      <c r="H29" s="397">
        <f>výdavky!D246</f>
        <v>0</v>
      </c>
      <c r="I29" s="397">
        <f>výdavky!E246</f>
        <v>0</v>
      </c>
      <c r="J29" s="397">
        <f>výdavky!F246</f>
        <v>0</v>
      </c>
      <c r="K29" s="397">
        <f>výdavky!G246</f>
        <v>0</v>
      </c>
      <c r="L29" s="397">
        <f>výdavky!H246</f>
        <v>0</v>
      </c>
    </row>
    <row r="30" spans="1:12" ht="12.75">
      <c r="A30" s="343">
        <v>25</v>
      </c>
      <c r="B30" s="505"/>
      <c r="C30" s="436"/>
      <c r="D30" s="1262" t="s">
        <v>232</v>
      </c>
      <c r="E30" s="1262"/>
      <c r="F30" s="577"/>
      <c r="G30" s="613"/>
      <c r="H30" s="579">
        <f>SUM(H31)</f>
        <v>0</v>
      </c>
      <c r="I30" s="579">
        <f>SUM(I31)</f>
        <v>0</v>
      </c>
      <c r="J30" s="579">
        <f>SUM(J31)</f>
        <v>0</v>
      </c>
      <c r="K30" s="579">
        <f>SUM(K31)</f>
        <v>0</v>
      </c>
      <c r="L30" s="579">
        <f>SUM(L31)</f>
        <v>0</v>
      </c>
    </row>
    <row r="31" spans="1:12" ht="12.75">
      <c r="A31" s="343">
        <v>26</v>
      </c>
      <c r="B31" s="505"/>
      <c r="C31" s="612" t="s">
        <v>388</v>
      </c>
      <c r="D31" s="1265" t="s">
        <v>387</v>
      </c>
      <c r="E31" s="1265"/>
      <c r="F31" s="508"/>
      <c r="G31" s="417"/>
      <c r="H31" s="614">
        <f>SUM(H32,H33,H34)</f>
        <v>0</v>
      </c>
      <c r="I31" s="614">
        <f>SUM(I32,I33,I34)</f>
        <v>0</v>
      </c>
      <c r="J31" s="614">
        <f>SUM(J32,J33,J34)</f>
        <v>0</v>
      </c>
      <c r="K31" s="614">
        <f>SUM(K32,K33,K34)</f>
        <v>0</v>
      </c>
      <c r="L31" s="614">
        <f>SUM(L32,L33,L34)</f>
        <v>0</v>
      </c>
    </row>
    <row r="32" spans="1:12" ht="12.75">
      <c r="A32" s="343">
        <v>27</v>
      </c>
      <c r="B32" s="505"/>
      <c r="C32" s="436" t="s">
        <v>348</v>
      </c>
      <c r="D32" s="423">
        <v>5</v>
      </c>
      <c r="E32" s="424" t="s">
        <v>389</v>
      </c>
      <c r="F32" s="395"/>
      <c r="G32" s="616"/>
      <c r="H32" s="397">
        <f>výdavky!D444</f>
        <v>0</v>
      </c>
      <c r="I32" s="397">
        <v>0</v>
      </c>
      <c r="J32" s="397">
        <v>0</v>
      </c>
      <c r="K32" s="397">
        <v>0</v>
      </c>
      <c r="L32" s="397">
        <v>0</v>
      </c>
    </row>
    <row r="33" spans="1:12" ht="12.75">
      <c r="A33" s="343">
        <v>28</v>
      </c>
      <c r="B33" s="505"/>
      <c r="C33" s="436"/>
      <c r="D33" s="423"/>
      <c r="E33" s="424"/>
      <c r="F33" s="425"/>
      <c r="G33" s="426"/>
      <c r="H33" s="397"/>
      <c r="I33" s="397"/>
      <c r="J33" s="397"/>
      <c r="K33" s="397"/>
      <c r="L33" s="397"/>
    </row>
    <row r="34" spans="1:12" s="413" customFormat="1" ht="12.75">
      <c r="A34" s="468">
        <v>29</v>
      </c>
      <c r="B34" s="642"/>
      <c r="C34" s="513"/>
      <c r="D34" s="471"/>
      <c r="E34" s="643"/>
      <c r="F34" s="516"/>
      <c r="G34" s="596">
        <v>78.1</v>
      </c>
      <c r="H34" s="519"/>
      <c r="I34" s="519"/>
      <c r="J34" s="519"/>
      <c r="K34" s="519"/>
      <c r="L34" s="519"/>
    </row>
  </sheetData>
  <sheetProtection/>
  <mergeCells count="4">
    <mergeCell ref="G3:L3"/>
    <mergeCell ref="D4:F6"/>
    <mergeCell ref="D30:E30"/>
    <mergeCell ref="D31:E31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57421875" style="306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8" max="12" width="8.28125" style="0" customWidth="1"/>
  </cols>
  <sheetData>
    <row r="1" spans="2:12" ht="15.75">
      <c r="B1" s="310" t="s">
        <v>390</v>
      </c>
      <c r="E1" s="310" t="s">
        <v>391</v>
      </c>
      <c r="F1" s="308"/>
      <c r="G1" s="476" t="e">
        <f>G2-G7</f>
        <v>#REF!</v>
      </c>
      <c r="H1" s="476"/>
      <c r="I1" s="476"/>
      <c r="J1" s="477">
        <f>J2-J7</f>
        <v>0</v>
      </c>
      <c r="K1" s="477">
        <f>K2-K7</f>
        <v>0</v>
      </c>
      <c r="L1" s="477">
        <f>L2-L7</f>
        <v>0</v>
      </c>
    </row>
    <row r="2" spans="2:12" ht="15.75">
      <c r="B2" s="310"/>
      <c r="G2" s="478" t="e">
        <f>SUM(G8:G10)</f>
        <v>#REF!</v>
      </c>
      <c r="H2" s="478"/>
      <c r="I2" s="478"/>
      <c r="J2" s="318">
        <f>SUM(J8:J10)</f>
        <v>24550</v>
      </c>
      <c r="K2" s="318">
        <f>SUM(K8:K10)</f>
        <v>30980</v>
      </c>
      <c r="L2" s="318">
        <f>SUM(L8:L10)</f>
        <v>0</v>
      </c>
    </row>
    <row r="3" spans="1:12" ht="15.75">
      <c r="A3" s="319"/>
      <c r="B3" s="320"/>
      <c r="C3" s="321"/>
      <c r="D3" s="321"/>
      <c r="E3" s="322"/>
      <c r="F3" s="323"/>
      <c r="G3" s="1258" t="s">
        <v>215</v>
      </c>
      <c r="H3" s="1258"/>
      <c r="I3" s="1258"/>
      <c r="J3" s="1258"/>
      <c r="K3" s="1258"/>
      <c r="L3" s="1258"/>
    </row>
    <row r="4" spans="1:12" ht="11.25" customHeight="1">
      <c r="A4" s="324"/>
      <c r="B4" s="325" t="s">
        <v>216</v>
      </c>
      <c r="C4" s="326" t="s">
        <v>217</v>
      </c>
      <c r="D4" s="1260" t="s">
        <v>218</v>
      </c>
      <c r="E4" s="1260"/>
      <c r="F4" s="1260"/>
      <c r="G4" s="327"/>
      <c r="H4" s="328">
        <v>2014</v>
      </c>
      <c r="I4" s="328" t="s">
        <v>108</v>
      </c>
      <c r="J4" s="328" t="s">
        <v>219</v>
      </c>
      <c r="K4" s="329" t="s">
        <v>220</v>
      </c>
      <c r="L4" s="329"/>
    </row>
    <row r="5" spans="1:12" ht="15" customHeight="1">
      <c r="A5" s="324"/>
      <c r="B5" s="325" t="s">
        <v>221</v>
      </c>
      <c r="C5" s="326" t="s">
        <v>222</v>
      </c>
      <c r="D5" s="1260"/>
      <c r="E5" s="1260"/>
      <c r="F5" s="1260"/>
      <c r="G5" s="330" t="s">
        <v>223</v>
      </c>
      <c r="H5" s="331" t="s">
        <v>224</v>
      </c>
      <c r="I5" s="331" t="s">
        <v>224</v>
      </c>
      <c r="J5" s="331" t="s">
        <v>224</v>
      </c>
      <c r="K5" s="332" t="s">
        <v>225</v>
      </c>
      <c r="L5" s="332" t="s">
        <v>225</v>
      </c>
    </row>
    <row r="6" spans="1:12" ht="12.75">
      <c r="A6" s="479"/>
      <c r="B6" s="480" t="s">
        <v>226</v>
      </c>
      <c r="C6" s="481" t="s">
        <v>227</v>
      </c>
      <c r="D6" s="1260"/>
      <c r="E6" s="1260"/>
      <c r="F6" s="1260"/>
      <c r="G6" s="482">
        <v>1</v>
      </c>
      <c r="H6" s="333">
        <v>0</v>
      </c>
      <c r="I6" s="333">
        <v>1</v>
      </c>
      <c r="J6" s="483">
        <v>2</v>
      </c>
      <c r="K6" s="335">
        <v>3</v>
      </c>
      <c r="L6" s="335">
        <v>4</v>
      </c>
    </row>
    <row r="7" spans="1:12" ht="15">
      <c r="A7" s="343">
        <v>1</v>
      </c>
      <c r="B7" s="485" t="s">
        <v>390</v>
      </c>
      <c r="C7" s="486"/>
      <c r="D7" s="487"/>
      <c r="E7" s="488" t="s">
        <v>391</v>
      </c>
      <c r="F7" s="489"/>
      <c r="G7" s="490" t="e">
        <f>G11+#REF!</f>
        <v>#REF!</v>
      </c>
      <c r="H7" s="342">
        <f>SUM(H8:H10)</f>
        <v>18500</v>
      </c>
      <c r="I7" s="342">
        <f>SUM(I8:I10)</f>
        <v>16274.17</v>
      </c>
      <c r="J7" s="491">
        <f>SUM(J8:J10)</f>
        <v>24550</v>
      </c>
      <c r="K7" s="342">
        <f>SUM(K8:K10)</f>
        <v>30980</v>
      </c>
      <c r="L7" s="342">
        <f>SUM(L8:L10)</f>
        <v>0</v>
      </c>
    </row>
    <row r="8" spans="1:12" ht="12.75">
      <c r="A8" s="343">
        <f aca="true" t="shared" si="0" ref="A8:A14">A7+1</f>
        <v>2</v>
      </c>
      <c r="B8" s="492" t="s">
        <v>229</v>
      </c>
      <c r="C8" s="345" t="s">
        <v>230</v>
      </c>
      <c r="D8" s="346"/>
      <c r="E8" s="347"/>
      <c r="F8" s="348"/>
      <c r="G8" s="493" t="e">
        <f>G12+#REF!</f>
        <v>#REF!</v>
      </c>
      <c r="H8" s="495">
        <f>SUM(H12)</f>
        <v>18500</v>
      </c>
      <c r="I8" s="495">
        <f>SUM(I12)</f>
        <v>16274.17</v>
      </c>
      <c r="J8" s="494">
        <f>SUM(J12)</f>
        <v>24550</v>
      </c>
      <c r="K8" s="495">
        <f>SUM(K12)</f>
        <v>30980</v>
      </c>
      <c r="L8" s="495">
        <f>SUM(L12)</f>
        <v>0</v>
      </c>
    </row>
    <row r="9" spans="1:12" ht="12.75">
      <c r="A9" s="343">
        <f t="shared" si="0"/>
        <v>3</v>
      </c>
      <c r="B9" s="492" t="s">
        <v>231</v>
      </c>
      <c r="C9" s="345" t="s">
        <v>232</v>
      </c>
      <c r="D9" s="346"/>
      <c r="E9" s="347"/>
      <c r="F9" s="348"/>
      <c r="G9" s="493" t="e">
        <f>#REF!</f>
        <v>#REF!</v>
      </c>
      <c r="H9" s="495">
        <f>H20</f>
        <v>0</v>
      </c>
      <c r="I9" s="495">
        <f>I20</f>
        <v>0</v>
      </c>
      <c r="J9" s="495">
        <f>J20</f>
        <v>0</v>
      </c>
      <c r="K9" s="495">
        <f>K20</f>
        <v>0</v>
      </c>
      <c r="L9" s="495">
        <f>L20</f>
        <v>0</v>
      </c>
    </row>
    <row r="10" spans="1:12" ht="12.75">
      <c r="A10" s="343">
        <f t="shared" si="0"/>
        <v>4</v>
      </c>
      <c r="B10" s="492"/>
      <c r="C10" s="345" t="s">
        <v>233</v>
      </c>
      <c r="D10" s="346"/>
      <c r="E10" s="347"/>
      <c r="F10" s="348"/>
      <c r="G10" s="493">
        <v>0</v>
      </c>
      <c r="H10" s="495">
        <v>0</v>
      </c>
      <c r="I10" s="495">
        <v>0</v>
      </c>
      <c r="J10" s="494">
        <v>0</v>
      </c>
      <c r="K10" s="495">
        <v>0</v>
      </c>
      <c r="L10" s="495">
        <v>0</v>
      </c>
    </row>
    <row r="11" spans="1:12" ht="12.75">
      <c r="A11" s="343">
        <f t="shared" si="0"/>
        <v>5</v>
      </c>
      <c r="B11" s="644">
        <v>1</v>
      </c>
      <c r="C11" s="601" t="s">
        <v>392</v>
      </c>
      <c r="D11" s="602"/>
      <c r="E11" s="602"/>
      <c r="F11" s="603"/>
      <c r="G11" s="604" t="e">
        <f>SUM(G13)+#REF!</f>
        <v>#REF!</v>
      </c>
      <c r="H11" s="363">
        <f aca="true" t="shared" si="1" ref="H11:L12">H12</f>
        <v>18500</v>
      </c>
      <c r="I11" s="363">
        <f t="shared" si="1"/>
        <v>16274.17</v>
      </c>
      <c r="J11" s="363">
        <f t="shared" si="1"/>
        <v>24550</v>
      </c>
      <c r="K11" s="363">
        <f t="shared" si="1"/>
        <v>30980</v>
      </c>
      <c r="L11" s="363">
        <f t="shared" si="1"/>
        <v>0</v>
      </c>
    </row>
    <row r="12" spans="1:12" s="413" customFormat="1" ht="12.75">
      <c r="A12" s="343">
        <f t="shared" si="0"/>
        <v>6</v>
      </c>
      <c r="B12" s="503"/>
      <c r="C12" s="374"/>
      <c r="D12" s="348" t="s">
        <v>230</v>
      </c>
      <c r="E12" s="375"/>
      <c r="F12" s="376"/>
      <c r="G12" s="377" t="e">
        <f>G13</f>
        <v>#REF!</v>
      </c>
      <c r="H12" s="378">
        <f t="shared" si="1"/>
        <v>18500</v>
      </c>
      <c r="I12" s="378">
        <f t="shared" si="1"/>
        <v>16274.17</v>
      </c>
      <c r="J12" s="378">
        <f t="shared" si="1"/>
        <v>24550</v>
      </c>
      <c r="K12" s="378">
        <f t="shared" si="1"/>
        <v>30980</v>
      </c>
      <c r="L12" s="378">
        <f t="shared" si="1"/>
        <v>0</v>
      </c>
    </row>
    <row r="13" spans="1:12" ht="12.75">
      <c r="A13" s="343">
        <f t="shared" si="0"/>
        <v>7</v>
      </c>
      <c r="B13" s="505"/>
      <c r="C13" s="506" t="s">
        <v>393</v>
      </c>
      <c r="D13" s="415" t="s">
        <v>394</v>
      </c>
      <c r="E13" s="507"/>
      <c r="F13" s="508"/>
      <c r="G13" s="417" t="e">
        <f>SUM(#REF!)</f>
        <v>#REF!</v>
      </c>
      <c r="H13" s="385">
        <f>SUM(H14,H15,H16,H17,H18,H19)</f>
        <v>18500</v>
      </c>
      <c r="I13" s="385">
        <f>SUM(I14,I15,I16,I17,I18,I19)</f>
        <v>16274.17</v>
      </c>
      <c r="J13" s="385">
        <f>SUM(J14,J15,J16,J17,J18,J19)</f>
        <v>24550</v>
      </c>
      <c r="K13" s="385">
        <f>SUM(K14,K15,K16,K17,K18,K19)</f>
        <v>30980</v>
      </c>
      <c r="L13" s="385">
        <f>SUM(L14,L15,L16,L17,L18,L19)</f>
        <v>0</v>
      </c>
    </row>
    <row r="14" spans="1:12" ht="12.75">
      <c r="A14" s="343">
        <f t="shared" si="0"/>
        <v>8</v>
      </c>
      <c r="B14" s="505"/>
      <c r="C14" s="436" t="s">
        <v>239</v>
      </c>
      <c r="D14" s="437" t="s">
        <v>266</v>
      </c>
      <c r="E14" s="394" t="s">
        <v>240</v>
      </c>
      <c r="F14" s="425"/>
      <c r="G14" s="426"/>
      <c r="H14" s="397">
        <f>výdavky!D255</f>
        <v>3000</v>
      </c>
      <c r="I14" s="397">
        <f>výdavky!E255</f>
        <v>456.39</v>
      </c>
      <c r="J14" s="397">
        <f>výdavky!F255</f>
        <v>1000</v>
      </c>
      <c r="K14" s="397">
        <f>výdavky!G255</f>
        <v>3450</v>
      </c>
      <c r="L14" s="397">
        <f>výdavky!H255</f>
        <v>0</v>
      </c>
    </row>
    <row r="15" spans="1:12" ht="12.75">
      <c r="A15" s="343"/>
      <c r="B15" s="505"/>
      <c r="C15" s="436" t="s">
        <v>241</v>
      </c>
      <c r="D15" s="437" t="s">
        <v>268</v>
      </c>
      <c r="E15" s="394" t="s">
        <v>242</v>
      </c>
      <c r="F15" s="425"/>
      <c r="G15" s="426"/>
      <c r="H15" s="397">
        <f>výdavky!D256</f>
        <v>1500</v>
      </c>
      <c r="I15" s="397">
        <f>výdavky!E256</f>
        <v>162.47</v>
      </c>
      <c r="J15" s="397">
        <f>výdavky!F256</f>
        <v>400</v>
      </c>
      <c r="K15" s="397">
        <f>výdavky!G256</f>
        <v>1050</v>
      </c>
      <c r="L15" s="397">
        <f>výdavky!H256</f>
        <v>0</v>
      </c>
    </row>
    <row r="16" spans="1:12" ht="12.75">
      <c r="A16" s="343">
        <f>A14+1</f>
        <v>9</v>
      </c>
      <c r="B16" s="505"/>
      <c r="C16" s="436" t="s">
        <v>245</v>
      </c>
      <c r="D16" s="437" t="s">
        <v>279</v>
      </c>
      <c r="E16" s="394" t="s">
        <v>246</v>
      </c>
      <c r="F16" s="425"/>
      <c r="G16" s="426"/>
      <c r="H16" s="397">
        <f>výdavky!D257</f>
        <v>13000</v>
      </c>
      <c r="I16" s="397">
        <f>výdavky!E257</f>
        <v>7996.18</v>
      </c>
      <c r="J16" s="397">
        <f>výdavky!F257</f>
        <v>15000</v>
      </c>
      <c r="K16" s="397">
        <f>výdavky!G257</f>
        <v>16300</v>
      </c>
      <c r="L16" s="397">
        <f>výdavky!H257</f>
        <v>0</v>
      </c>
    </row>
    <row r="17" spans="1:12" ht="12.75">
      <c r="A17" s="343"/>
      <c r="B17" s="505"/>
      <c r="C17" s="436" t="s">
        <v>247</v>
      </c>
      <c r="D17" s="437" t="s">
        <v>281</v>
      </c>
      <c r="E17" s="394" t="s">
        <v>248</v>
      </c>
      <c r="F17" s="425"/>
      <c r="G17" s="426"/>
      <c r="H17" s="397">
        <f>výdavky!D258</f>
        <v>100</v>
      </c>
      <c r="I17" s="397">
        <f>výdavky!E258</f>
        <v>378.3</v>
      </c>
      <c r="J17" s="397">
        <f>výdavky!F258</f>
        <v>500</v>
      </c>
      <c r="K17" s="397">
        <f>výdavky!G258</f>
        <v>500</v>
      </c>
      <c r="L17" s="397">
        <f>výdavky!H258</f>
        <v>0</v>
      </c>
    </row>
    <row r="18" spans="1:12" ht="12.75">
      <c r="A18" s="343">
        <f>A16+1</f>
        <v>10</v>
      </c>
      <c r="B18" s="505"/>
      <c r="C18" s="436" t="s">
        <v>251</v>
      </c>
      <c r="D18" s="437" t="s">
        <v>283</v>
      </c>
      <c r="E18" s="394" t="s">
        <v>334</v>
      </c>
      <c r="F18" s="425"/>
      <c r="G18" s="426"/>
      <c r="H18" s="397">
        <f>výdavky!D259</f>
        <v>500</v>
      </c>
      <c r="I18" s="397">
        <f>výdavky!E259</f>
        <v>3630.83</v>
      </c>
      <c r="J18" s="397">
        <f>výdavky!F259</f>
        <v>4000</v>
      </c>
      <c r="K18" s="397">
        <f>výdavky!G259</f>
        <v>6000</v>
      </c>
      <c r="L18" s="397">
        <f>výdavky!H259</f>
        <v>0</v>
      </c>
    </row>
    <row r="19" spans="1:12" ht="12.75">
      <c r="A19" s="343">
        <f>A18+1</f>
        <v>11</v>
      </c>
      <c r="B19" s="505"/>
      <c r="C19" s="436" t="s">
        <v>255</v>
      </c>
      <c r="D19" s="437" t="s">
        <v>287</v>
      </c>
      <c r="E19" s="394" t="s">
        <v>256</v>
      </c>
      <c r="F19" s="425"/>
      <c r="G19" s="426"/>
      <c r="H19" s="397">
        <f>výdavky!D260</f>
        <v>400</v>
      </c>
      <c r="I19" s="397">
        <f>výdavky!E260</f>
        <v>3650</v>
      </c>
      <c r="J19" s="397">
        <f>výdavky!F260</f>
        <v>3650</v>
      </c>
      <c r="K19" s="397">
        <f>výdavky!G260</f>
        <v>3680</v>
      </c>
      <c r="L19" s="397">
        <f>výdavky!H260</f>
        <v>0</v>
      </c>
    </row>
    <row r="20" spans="1:12" ht="12.75">
      <c r="A20" s="343">
        <v>12</v>
      </c>
      <c r="B20" s="645"/>
      <c r="C20" s="387"/>
      <c r="D20" s="347" t="s">
        <v>232</v>
      </c>
      <c r="E20" s="404"/>
      <c r="F20" s="376"/>
      <c r="G20" s="377">
        <f>G22</f>
        <v>0</v>
      </c>
      <c r="H20" s="378">
        <f>H21</f>
        <v>0</v>
      </c>
      <c r="I20" s="378">
        <f>I21</f>
        <v>0</v>
      </c>
      <c r="J20" s="378">
        <f>J21</f>
        <v>0</v>
      </c>
      <c r="K20" s="378">
        <f>K21</f>
        <v>0</v>
      </c>
      <c r="L20" s="378">
        <f>L21</f>
        <v>0</v>
      </c>
    </row>
    <row r="21" spans="1:12" ht="12.75">
      <c r="A21" s="343">
        <f>A20+1</f>
        <v>13</v>
      </c>
      <c r="B21" s="645"/>
      <c r="C21" s="459" t="s">
        <v>395</v>
      </c>
      <c r="D21" s="381" t="s">
        <v>394</v>
      </c>
      <c r="E21" s="382"/>
      <c r="F21" s="383"/>
      <c r="G21" s="384">
        <f>SUM(G22:G23)</f>
        <v>0</v>
      </c>
      <c r="H21" s="385">
        <f>H22+SUM(H22,H23)</f>
        <v>0</v>
      </c>
      <c r="I21" s="385">
        <f>I22+SUM(I22,I23)</f>
        <v>0</v>
      </c>
      <c r="J21" s="385">
        <f>J22+SUM(J22,J23)</f>
        <v>0</v>
      </c>
      <c r="K21" s="385">
        <f>K22+SUM(K22,K23)</f>
        <v>0</v>
      </c>
      <c r="L21" s="385">
        <f>L22+SUM(L22,L23)</f>
        <v>0</v>
      </c>
    </row>
    <row r="22" spans="1:12" ht="12.75">
      <c r="A22" s="343">
        <f>A21+1</f>
        <v>14</v>
      </c>
      <c r="B22" s="505"/>
      <c r="C22" s="436" t="s">
        <v>384</v>
      </c>
      <c r="D22" s="437" t="s">
        <v>290</v>
      </c>
      <c r="E22" s="533" t="s">
        <v>385</v>
      </c>
      <c r="F22" s="405"/>
      <c r="G22" s="406"/>
      <c r="H22" s="397">
        <v>0</v>
      </c>
      <c r="I22" s="397">
        <v>0</v>
      </c>
      <c r="J22" s="397">
        <v>0</v>
      </c>
      <c r="K22" s="397">
        <v>0</v>
      </c>
      <c r="L22" s="397">
        <v>0</v>
      </c>
    </row>
    <row r="23" spans="1:12" ht="12.75">
      <c r="A23" s="468">
        <f>A22+1</f>
        <v>15</v>
      </c>
      <c r="B23" s="512"/>
      <c r="C23" s="513" t="s">
        <v>386</v>
      </c>
      <c r="D23" s="646" t="s">
        <v>320</v>
      </c>
      <c r="E23" s="647" t="s">
        <v>396</v>
      </c>
      <c r="F23" s="648"/>
      <c r="G23" s="649"/>
      <c r="H23" s="650">
        <v>0</v>
      </c>
      <c r="I23" s="650">
        <v>0</v>
      </c>
      <c r="J23" s="650">
        <v>0</v>
      </c>
      <c r="K23" s="650">
        <v>0</v>
      </c>
      <c r="L23" s="650">
        <v>0</v>
      </c>
    </row>
  </sheetData>
  <sheetProtection/>
  <mergeCells count="2">
    <mergeCell ref="G3:L3"/>
    <mergeCell ref="D4:F6"/>
  </mergeCells>
  <printOptions/>
  <pageMargins left="0.5902777777777778" right="0.19652777777777777" top="0.9840277777777778" bottom="0.9840277777777778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ntb1</cp:lastModifiedBy>
  <cp:lastPrinted>2014-12-04T19:35:26Z</cp:lastPrinted>
  <dcterms:modified xsi:type="dcterms:W3CDTF">2014-12-17T15:05:46Z</dcterms:modified>
  <cp:category/>
  <cp:version/>
  <cp:contentType/>
  <cp:contentStatus/>
</cp:coreProperties>
</file>